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bookViews>
    <workbookView xWindow="495" yWindow="135" windowWidth="20730" windowHeight="9600" firstSheet="3" activeTab="4"/>
  </bookViews>
  <sheets>
    <sheet name="plots" sheetId="1" r:id="rId1"/>
    <sheet name="raw_data" sheetId="2" r:id="rId2"/>
    <sheet name="lookup" sheetId="3" r:id="rId3"/>
    <sheet name="readme" sheetId="4" r:id="rId4"/>
    <sheet name="All_contrib_summary" sheetId="10" r:id="rId5"/>
    <sheet name="Top Sources Summary" sheetId="11" r:id="rId6"/>
    <sheet name="Mexico_Contribution" sheetId="5" r:id="rId7"/>
    <sheet name="MexicoImpactSummary" sheetId="7" r:id="rId8"/>
    <sheet name="SNMOS_woFires" sheetId="9" r:id="rId9"/>
    <sheet name="FireImpactsSummary" sheetId="8" r:id="rId10"/>
    <sheet name="Zac 4 km" sheetId="12" r:id="rId11"/>
  </sheets>
  <definedNames>
    <definedName name="SNMOS_O3T001003_2011___Ozone_Monitors____monitor_data__temporally_adjusted_2011" localSheetId="1">raw_data!#REF!</definedName>
  </definedNames>
  <calcPr calcId="145621"/>
</workbook>
</file>

<file path=xl/calcChain.xml><?xml version="1.0" encoding="utf-8"?>
<calcChain xmlns="http://schemas.openxmlformats.org/spreadsheetml/2006/main">
  <c r="I5" i="10" l="1"/>
  <c r="I6" i="10"/>
  <c r="I7" i="10"/>
  <c r="I8" i="10"/>
  <c r="I9" i="10"/>
  <c r="I10" i="10"/>
  <c r="I11" i="10"/>
  <c r="I12" i="10"/>
  <c r="I13" i="10"/>
  <c r="I14" i="10"/>
  <c r="I15" i="10"/>
  <c r="I16" i="10"/>
  <c r="I17" i="10"/>
  <c r="I18" i="10"/>
  <c r="I4" i="10"/>
  <c r="P59" i="10" l="1"/>
  <c r="P58" i="10"/>
  <c r="P41" i="10"/>
  <c r="P40" i="10"/>
  <c r="N42" i="10"/>
  <c r="N43" i="10"/>
  <c r="N44" i="10"/>
  <c r="N45" i="10"/>
  <c r="N46" i="10"/>
  <c r="N47" i="10"/>
  <c r="N48" i="10"/>
  <c r="N49" i="10"/>
  <c r="N50" i="10"/>
  <c r="N51" i="10"/>
  <c r="N52" i="10"/>
  <c r="N53" i="10"/>
  <c r="N54" i="10"/>
  <c r="N55" i="10"/>
  <c r="N59" i="10"/>
  <c r="N60" i="10"/>
  <c r="N61" i="10"/>
  <c r="N62" i="10"/>
  <c r="N63" i="10"/>
  <c r="N64" i="10"/>
  <c r="N65" i="10"/>
  <c r="N66" i="10"/>
  <c r="N67" i="10"/>
  <c r="N68" i="10"/>
  <c r="N69" i="10"/>
  <c r="N70" i="10"/>
  <c r="N71" i="10"/>
  <c r="N72" i="10"/>
  <c r="N73" i="10"/>
  <c r="N41" i="10"/>
  <c r="M59" i="10"/>
  <c r="M60" i="10"/>
  <c r="M61" i="10"/>
  <c r="M62" i="10"/>
  <c r="M63" i="10"/>
  <c r="M64" i="10"/>
  <c r="M65" i="10"/>
  <c r="M66" i="10"/>
  <c r="M67" i="10"/>
  <c r="M68" i="10"/>
  <c r="M69" i="10"/>
  <c r="M70" i="10"/>
  <c r="M71" i="10"/>
  <c r="M72" i="10"/>
  <c r="M73" i="10"/>
  <c r="M42" i="10"/>
  <c r="M43" i="10"/>
  <c r="M44" i="10"/>
  <c r="M45" i="10"/>
  <c r="M46" i="10"/>
  <c r="M47" i="10"/>
  <c r="M48" i="10"/>
  <c r="M49" i="10"/>
  <c r="M50" i="10"/>
  <c r="M51" i="10"/>
  <c r="M52" i="10"/>
  <c r="M53" i="10"/>
  <c r="M54" i="10"/>
  <c r="M55" i="10"/>
  <c r="M41" i="10"/>
  <c r="N5" i="5"/>
  <c r="F5" i="7"/>
  <c r="E5" i="7"/>
  <c r="D6" i="7"/>
  <c r="D5" i="7"/>
  <c r="F6" i="7"/>
  <c r="E6" i="7"/>
  <c r="G6" i="12"/>
  <c r="G7" i="12"/>
  <c r="G8" i="12"/>
  <c r="G9" i="12"/>
  <c r="G10" i="12"/>
  <c r="G11" i="12"/>
  <c r="G12" i="12"/>
  <c r="G13" i="12"/>
  <c r="G14" i="12"/>
  <c r="G15" i="12"/>
  <c r="G16" i="12"/>
  <c r="G17" i="12"/>
  <c r="G18" i="12"/>
  <c r="G19" i="12"/>
  <c r="G5" i="12"/>
  <c r="F6" i="12"/>
  <c r="F7" i="12"/>
  <c r="F8" i="12"/>
  <c r="F9" i="12"/>
  <c r="F10" i="12"/>
  <c r="F11" i="12"/>
  <c r="F12" i="12"/>
  <c r="F13" i="12"/>
  <c r="F14" i="12"/>
  <c r="F15" i="12"/>
  <c r="F16" i="12"/>
  <c r="F17" i="12"/>
  <c r="F18" i="12"/>
  <c r="F19" i="12"/>
  <c r="F5" i="12"/>
  <c r="E9" i="5"/>
  <c r="H19" i="5"/>
  <c r="H18" i="5"/>
  <c r="H17" i="5"/>
  <c r="H16" i="5"/>
  <c r="H15" i="5"/>
  <c r="H14" i="5"/>
  <c r="H13" i="5"/>
  <c r="H12" i="5"/>
  <c r="H11" i="5"/>
  <c r="H10" i="5"/>
  <c r="H9" i="5"/>
  <c r="H8" i="5"/>
  <c r="H7" i="5"/>
  <c r="H6" i="5"/>
  <c r="E6" i="5"/>
  <c r="E7" i="5"/>
  <c r="E8" i="5"/>
  <c r="E10" i="5"/>
  <c r="E11" i="5"/>
  <c r="E12" i="5"/>
  <c r="E13" i="5"/>
  <c r="E14" i="5"/>
  <c r="E15" i="5"/>
  <c r="E16" i="5"/>
  <c r="E17" i="5"/>
  <c r="E18" i="5"/>
  <c r="E19" i="5"/>
  <c r="E5" i="5"/>
  <c r="H5" i="5"/>
  <c r="N6" i="5"/>
  <c r="N7" i="5"/>
  <c r="N8" i="5"/>
  <c r="N9" i="5"/>
  <c r="N10" i="5"/>
  <c r="N11" i="5"/>
  <c r="N12" i="5"/>
  <c r="N13" i="5"/>
  <c r="N14" i="5"/>
  <c r="N15" i="5"/>
  <c r="N16" i="5"/>
  <c r="N17" i="5"/>
  <c r="N18" i="5"/>
  <c r="N19" i="5"/>
  <c r="N20" i="5"/>
  <c r="N21" i="5"/>
  <c r="C3"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F11" i="1"/>
  <c r="D11" i="1"/>
  <c r="F13" i="1"/>
  <c r="F9" i="1"/>
  <c r="G13" i="1"/>
  <c r="H13" i="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C47"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C24"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C46"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E23" i="11"/>
  <c r="D23" i="11"/>
  <c r="C23" i="11"/>
  <c r="K44" i="11"/>
  <c r="AH44" i="11"/>
  <c r="AG44" i="11"/>
  <c r="AF44" i="11"/>
  <c r="AE44" i="11"/>
  <c r="AD44" i="11"/>
  <c r="AC44" i="11"/>
  <c r="AB44" i="11"/>
  <c r="AA44" i="11"/>
  <c r="Z44" i="11"/>
  <c r="Y44" i="11"/>
  <c r="X44" i="11"/>
  <c r="W44" i="11"/>
  <c r="V44" i="11"/>
  <c r="U44" i="11"/>
  <c r="T44" i="11"/>
  <c r="S44" i="11"/>
  <c r="R44" i="11"/>
  <c r="Q44" i="11"/>
  <c r="P44" i="11"/>
  <c r="O44" i="11"/>
  <c r="N44" i="11"/>
  <c r="M44" i="11"/>
  <c r="L44" i="11"/>
  <c r="J44" i="11"/>
  <c r="I44" i="11"/>
  <c r="H44" i="11"/>
  <c r="G44" i="11"/>
  <c r="F44" i="11"/>
  <c r="E44" i="11"/>
  <c r="D44" i="11"/>
  <c r="C44"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C21" i="11"/>
  <c r="L110" i="10"/>
  <c r="L109" i="10"/>
  <c r="L108" i="10"/>
  <c r="L107" i="10"/>
  <c r="L106" i="10"/>
  <c r="L105" i="10"/>
  <c r="L104" i="10"/>
  <c r="L103" i="10"/>
  <c r="L102" i="10"/>
  <c r="L101" i="10"/>
  <c r="L100" i="10"/>
  <c r="L99" i="10"/>
  <c r="L98" i="10"/>
  <c r="L97" i="10"/>
  <c r="L96" i="10"/>
  <c r="L92" i="10"/>
  <c r="L91" i="10"/>
  <c r="L90" i="10"/>
  <c r="L89" i="10"/>
  <c r="L88" i="10"/>
  <c r="L87" i="10"/>
  <c r="L86" i="10"/>
  <c r="L85" i="10"/>
  <c r="L84" i="10"/>
  <c r="L83" i="10"/>
  <c r="L82" i="10"/>
  <c r="L81" i="10"/>
  <c r="L80" i="10"/>
  <c r="L79" i="10"/>
  <c r="L78" i="10"/>
  <c r="L73" i="10"/>
  <c r="L72" i="10"/>
  <c r="L71" i="10"/>
  <c r="L70" i="10"/>
  <c r="L69" i="10"/>
  <c r="L68" i="10"/>
  <c r="L67" i="10"/>
  <c r="L66" i="10"/>
  <c r="L65" i="10"/>
  <c r="L64" i="10"/>
  <c r="L63" i="10"/>
  <c r="L62" i="10"/>
  <c r="L61" i="10"/>
  <c r="L60" i="10"/>
  <c r="L59" i="10"/>
  <c r="L42" i="10"/>
  <c r="L43" i="10"/>
  <c r="L44" i="10"/>
  <c r="L45" i="10"/>
  <c r="L46" i="10"/>
  <c r="L47" i="10"/>
  <c r="L48" i="10"/>
  <c r="L49" i="10"/>
  <c r="L50" i="10"/>
  <c r="L51" i="10"/>
  <c r="L52" i="10"/>
  <c r="L53" i="10"/>
  <c r="L54" i="10"/>
  <c r="L55" i="10"/>
  <c r="L41" i="10"/>
  <c r="AN102" i="2"/>
  <c r="H36" i="10"/>
  <c r="H35" i="10"/>
  <c r="H34" i="10"/>
  <c r="H33" i="10"/>
  <c r="H32" i="10"/>
  <c r="H31" i="10"/>
  <c r="H30" i="10"/>
  <c r="H29" i="10"/>
  <c r="H28" i="10"/>
  <c r="H27" i="10"/>
  <c r="H26" i="10"/>
  <c r="H25" i="10"/>
  <c r="H24" i="10"/>
  <c r="H23" i="10"/>
  <c r="H22" i="10"/>
  <c r="H5" i="10"/>
  <c r="H6" i="10"/>
  <c r="H7" i="10"/>
  <c r="H8" i="10"/>
  <c r="H9" i="10"/>
  <c r="H10" i="10"/>
  <c r="H11" i="10"/>
  <c r="H12" i="10"/>
  <c r="H13" i="10"/>
  <c r="H14" i="10"/>
  <c r="H15" i="10"/>
  <c r="H16" i="10"/>
  <c r="H17" i="10"/>
  <c r="H18" i="10"/>
  <c r="H4" i="10"/>
  <c r="K10" i="8"/>
  <c r="K5" i="8"/>
  <c r="H22" i="8"/>
  <c r="K6" i="8"/>
  <c r="K7" i="8"/>
  <c r="K8" i="8"/>
  <c r="K9" i="8"/>
  <c r="K11" i="8"/>
  <c r="K12" i="8"/>
  <c r="K13" i="8"/>
  <c r="K14" i="8"/>
  <c r="K15" i="8"/>
  <c r="K16" i="8"/>
  <c r="K17" i="8"/>
  <c r="K18" i="8"/>
  <c r="K4" i="8"/>
  <c r="H21" i="8"/>
  <c r="H20" i="8"/>
  <c r="V20" i="9"/>
  <c r="T20" i="9"/>
  <c r="U20" i="9"/>
  <c r="V19" i="9"/>
  <c r="T19" i="9"/>
  <c r="U19" i="9"/>
  <c r="V18" i="9"/>
  <c r="T18" i="9"/>
  <c r="U18" i="9"/>
  <c r="V17" i="9"/>
  <c r="T17" i="9"/>
  <c r="U17" i="9"/>
  <c r="V16" i="9"/>
  <c r="T16" i="9"/>
  <c r="U16" i="9"/>
  <c r="V15" i="9"/>
  <c r="T15" i="9"/>
  <c r="U15" i="9"/>
  <c r="V14" i="9"/>
  <c r="T14" i="9"/>
  <c r="U14" i="9"/>
  <c r="V13" i="9"/>
  <c r="T13" i="9"/>
  <c r="U13" i="9"/>
  <c r="V12" i="9"/>
  <c r="T12" i="9"/>
  <c r="U12" i="9"/>
  <c r="T11" i="9"/>
  <c r="U11" i="9"/>
  <c r="T10" i="9"/>
  <c r="V10" i="9"/>
  <c r="T9" i="9"/>
  <c r="V9" i="9"/>
  <c r="T8" i="9"/>
  <c r="V8" i="9"/>
  <c r="T7" i="9"/>
  <c r="V7" i="9"/>
  <c r="T6" i="9"/>
  <c r="U6" i="9"/>
  <c r="V5" i="9"/>
  <c r="T5" i="9"/>
  <c r="U5" i="9"/>
  <c r="V4" i="9"/>
  <c r="T4" i="9"/>
  <c r="U4" i="9"/>
  <c r="W5" i="9"/>
  <c r="W9" i="9"/>
  <c r="W12" i="9"/>
  <c r="W14" i="9"/>
  <c r="W16" i="9"/>
  <c r="W18" i="9"/>
  <c r="W20" i="9"/>
  <c r="W4" i="9"/>
  <c r="W13" i="9"/>
  <c r="W15" i="9"/>
  <c r="W17" i="9"/>
  <c r="W19" i="9"/>
  <c r="U7" i="9"/>
  <c r="W7" i="9"/>
  <c r="U8" i="9"/>
  <c r="W8" i="9"/>
  <c r="U9" i="9"/>
  <c r="U10" i="9"/>
  <c r="W10" i="9"/>
  <c r="E22" i="5"/>
  <c r="H22" i="5"/>
  <c r="H24" i="5"/>
  <c r="H23" i="5"/>
  <c r="I19" i="5"/>
  <c r="I18" i="5"/>
  <c r="I17" i="5"/>
  <c r="I16" i="5"/>
  <c r="I15" i="5"/>
  <c r="I14" i="5"/>
  <c r="E23" i="5"/>
  <c r="E24" i="5"/>
  <c r="P27" i="2"/>
  <c r="AM82" i="2"/>
  <c r="AM83" i="2"/>
  <c r="AM85" i="2"/>
  <c r="AM86" i="2"/>
  <c r="AM87" i="2"/>
  <c r="AM88" i="2"/>
  <c r="AM90" i="2"/>
  <c r="AM91" i="2"/>
  <c r="AM92" i="2"/>
  <c r="AM93" i="2"/>
  <c r="AM94" i="2"/>
  <c r="AM95" i="2"/>
  <c r="AM96" i="2"/>
  <c r="AM97" i="2"/>
  <c r="AM98" i="2"/>
  <c r="C92" i="1"/>
  <c r="AM23" i="2"/>
  <c r="AM25" i="2"/>
  <c r="AM26" i="2"/>
  <c r="AM27" i="2"/>
  <c r="AM28" i="2"/>
  <c r="AM30" i="2"/>
  <c r="AM31" i="2"/>
  <c r="AM32" i="2"/>
  <c r="AM33" i="2"/>
  <c r="AM34" i="2"/>
  <c r="AM35" i="2"/>
  <c r="AM36" i="2"/>
  <c r="AM37" i="2"/>
  <c r="AM38" i="2"/>
  <c r="AM22" i="2"/>
  <c r="AL22"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G27" i="2"/>
  <c r="H27" i="2"/>
  <c r="I27" i="2"/>
  <c r="J27" i="2"/>
  <c r="K27" i="2"/>
  <c r="L27" i="2"/>
  <c r="M27" i="2"/>
  <c r="N27" i="2"/>
  <c r="O27" i="2"/>
  <c r="Q27" i="2"/>
  <c r="R27" i="2"/>
  <c r="S27" i="2"/>
  <c r="T27" i="2"/>
  <c r="U27" i="2"/>
  <c r="V27" i="2"/>
  <c r="W27" i="2"/>
  <c r="X27" i="2"/>
  <c r="Y27" i="2"/>
  <c r="Z27" i="2"/>
  <c r="AA27" i="2"/>
  <c r="AB27" i="2"/>
  <c r="AC27" i="2"/>
  <c r="AD27" i="2"/>
  <c r="AE27" i="2"/>
  <c r="AF27" i="2"/>
  <c r="AG27" i="2"/>
  <c r="AH27" i="2"/>
  <c r="AI27" i="2"/>
  <c r="AJ27" i="2"/>
  <c r="AK27"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N22" i="2"/>
  <c r="AP22" i="2"/>
  <c r="Z41" i="2"/>
  <c r="AL98" i="2"/>
  <c r="AK98" i="2"/>
  <c r="AJ98" i="2"/>
  <c r="AI98" i="2"/>
  <c r="AH98" i="2"/>
  <c r="AG98" i="2"/>
  <c r="AF98" i="2"/>
  <c r="AE98" i="2"/>
  <c r="AD98" i="2"/>
  <c r="AC98" i="2"/>
  <c r="AB98" i="2"/>
  <c r="AA98" i="2"/>
  <c r="Z98" i="2"/>
  <c r="Y98" i="2"/>
  <c r="X98" i="2"/>
  <c r="W98" i="2"/>
  <c r="V98" i="2"/>
  <c r="U98" i="2"/>
  <c r="T98" i="2"/>
  <c r="S98" i="2"/>
  <c r="R98" i="2"/>
  <c r="Q98" i="2"/>
  <c r="P98" i="2"/>
  <c r="O98" i="2"/>
  <c r="N98" i="2"/>
  <c r="M98" i="2"/>
  <c r="L98" i="2"/>
  <c r="K98" i="2"/>
  <c r="J98" i="2"/>
  <c r="I98" i="2"/>
  <c r="H98" i="2"/>
  <c r="G98" i="2"/>
  <c r="AL97" i="2"/>
  <c r="AK97" i="2"/>
  <c r="AJ97" i="2"/>
  <c r="AI97" i="2"/>
  <c r="AH97" i="2"/>
  <c r="AG97" i="2"/>
  <c r="AF97" i="2"/>
  <c r="AE97" i="2"/>
  <c r="AD97" i="2"/>
  <c r="AC97" i="2"/>
  <c r="AB97" i="2"/>
  <c r="AA97" i="2"/>
  <c r="Z97" i="2"/>
  <c r="Y97" i="2"/>
  <c r="X97" i="2"/>
  <c r="W97" i="2"/>
  <c r="V97" i="2"/>
  <c r="U97" i="2"/>
  <c r="T97" i="2"/>
  <c r="S97" i="2"/>
  <c r="R97" i="2"/>
  <c r="Q97" i="2"/>
  <c r="P97" i="2"/>
  <c r="O97" i="2"/>
  <c r="N97" i="2"/>
  <c r="M97" i="2"/>
  <c r="L97" i="2"/>
  <c r="K97" i="2"/>
  <c r="J97" i="2"/>
  <c r="I97" i="2"/>
  <c r="H97" i="2"/>
  <c r="G97" i="2"/>
  <c r="AL96" i="2"/>
  <c r="AK96" i="2"/>
  <c r="AJ96" i="2"/>
  <c r="AI96" i="2"/>
  <c r="AH96" i="2"/>
  <c r="AG96" i="2"/>
  <c r="AF96" i="2"/>
  <c r="AE96" i="2"/>
  <c r="AD96" i="2"/>
  <c r="AC96" i="2"/>
  <c r="AB96" i="2"/>
  <c r="AA96" i="2"/>
  <c r="Z96" i="2"/>
  <c r="Y96" i="2"/>
  <c r="X96" i="2"/>
  <c r="W96" i="2"/>
  <c r="V96" i="2"/>
  <c r="U96" i="2"/>
  <c r="T96" i="2"/>
  <c r="S96" i="2"/>
  <c r="R96" i="2"/>
  <c r="Q96" i="2"/>
  <c r="P96" i="2"/>
  <c r="O96" i="2"/>
  <c r="N96" i="2"/>
  <c r="M96" i="2"/>
  <c r="L96" i="2"/>
  <c r="K96" i="2"/>
  <c r="J96" i="2"/>
  <c r="I96" i="2"/>
  <c r="H96" i="2"/>
  <c r="G96" i="2"/>
  <c r="AL95" i="2"/>
  <c r="AK95" i="2"/>
  <c r="AJ95" i="2"/>
  <c r="AI95" i="2"/>
  <c r="AH95" i="2"/>
  <c r="AG95" i="2"/>
  <c r="AF95" i="2"/>
  <c r="AE95" i="2"/>
  <c r="AD95" i="2"/>
  <c r="AC95" i="2"/>
  <c r="AB95" i="2"/>
  <c r="AA95" i="2"/>
  <c r="Z95" i="2"/>
  <c r="Y95" i="2"/>
  <c r="X95" i="2"/>
  <c r="W95" i="2"/>
  <c r="V95" i="2"/>
  <c r="U95" i="2"/>
  <c r="T95" i="2"/>
  <c r="S95" i="2"/>
  <c r="R95" i="2"/>
  <c r="Q95" i="2"/>
  <c r="P95" i="2"/>
  <c r="O95" i="2"/>
  <c r="N95" i="2"/>
  <c r="M95" i="2"/>
  <c r="L95" i="2"/>
  <c r="K95" i="2"/>
  <c r="J95" i="2"/>
  <c r="I95" i="2"/>
  <c r="H95" i="2"/>
  <c r="G95" i="2"/>
  <c r="AL94" i="2"/>
  <c r="AK94" i="2"/>
  <c r="AJ94" i="2"/>
  <c r="AI94" i="2"/>
  <c r="AH94" i="2"/>
  <c r="AG94" i="2"/>
  <c r="AF94" i="2"/>
  <c r="AE94" i="2"/>
  <c r="AD94" i="2"/>
  <c r="AC94" i="2"/>
  <c r="AB94" i="2"/>
  <c r="AA94" i="2"/>
  <c r="Z94" i="2"/>
  <c r="Y94" i="2"/>
  <c r="X94" i="2"/>
  <c r="W94" i="2"/>
  <c r="V94" i="2"/>
  <c r="U94" i="2"/>
  <c r="T94" i="2"/>
  <c r="S94" i="2"/>
  <c r="R94" i="2"/>
  <c r="Q94" i="2"/>
  <c r="P94" i="2"/>
  <c r="O94" i="2"/>
  <c r="N94" i="2"/>
  <c r="M94" i="2"/>
  <c r="L94" i="2"/>
  <c r="K94" i="2"/>
  <c r="J94" i="2"/>
  <c r="I94" i="2"/>
  <c r="H94" i="2"/>
  <c r="G94" i="2"/>
  <c r="AL93" i="2"/>
  <c r="AK93" i="2"/>
  <c r="AJ93" i="2"/>
  <c r="AI93" i="2"/>
  <c r="AH93" i="2"/>
  <c r="AG93" i="2"/>
  <c r="AF93" i="2"/>
  <c r="AE93" i="2"/>
  <c r="AD93" i="2"/>
  <c r="AC93" i="2"/>
  <c r="AB93" i="2"/>
  <c r="AA93" i="2"/>
  <c r="Z93" i="2"/>
  <c r="Y93" i="2"/>
  <c r="X93" i="2"/>
  <c r="W93" i="2"/>
  <c r="V93" i="2"/>
  <c r="U93" i="2"/>
  <c r="T93" i="2"/>
  <c r="S93" i="2"/>
  <c r="R93" i="2"/>
  <c r="Q93" i="2"/>
  <c r="P93" i="2"/>
  <c r="O93" i="2"/>
  <c r="N93" i="2"/>
  <c r="M93" i="2"/>
  <c r="L93" i="2"/>
  <c r="K93" i="2"/>
  <c r="J93" i="2"/>
  <c r="I93" i="2"/>
  <c r="H93" i="2"/>
  <c r="G93" i="2"/>
  <c r="AL92" i="2"/>
  <c r="AK92" i="2"/>
  <c r="AJ92" i="2"/>
  <c r="AI92" i="2"/>
  <c r="AH92" i="2"/>
  <c r="AG92" i="2"/>
  <c r="AF92" i="2"/>
  <c r="AE92" i="2"/>
  <c r="AD92" i="2"/>
  <c r="AC92" i="2"/>
  <c r="AB92" i="2"/>
  <c r="AA92" i="2"/>
  <c r="Z92" i="2"/>
  <c r="Y92" i="2"/>
  <c r="X92" i="2"/>
  <c r="W92" i="2"/>
  <c r="V92" i="2"/>
  <c r="U92" i="2"/>
  <c r="T92" i="2"/>
  <c r="S92" i="2"/>
  <c r="R92" i="2"/>
  <c r="Q92" i="2"/>
  <c r="P92" i="2"/>
  <c r="O92" i="2"/>
  <c r="N92" i="2"/>
  <c r="M92" i="2"/>
  <c r="L92" i="2"/>
  <c r="K92" i="2"/>
  <c r="J92" i="2"/>
  <c r="I92" i="2"/>
  <c r="H92" i="2"/>
  <c r="G92" i="2"/>
  <c r="AL91" i="2"/>
  <c r="AK91" i="2"/>
  <c r="AJ91" i="2"/>
  <c r="AI91" i="2"/>
  <c r="AH91" i="2"/>
  <c r="AG91" i="2"/>
  <c r="AF91" i="2"/>
  <c r="AE91" i="2"/>
  <c r="AD91" i="2"/>
  <c r="AC91" i="2"/>
  <c r="AB91" i="2"/>
  <c r="AA91" i="2"/>
  <c r="Z91" i="2"/>
  <c r="Y91" i="2"/>
  <c r="X91" i="2"/>
  <c r="W91" i="2"/>
  <c r="V91" i="2"/>
  <c r="U91" i="2"/>
  <c r="T91" i="2"/>
  <c r="S91" i="2"/>
  <c r="R91" i="2"/>
  <c r="Q91" i="2"/>
  <c r="P91" i="2"/>
  <c r="O91" i="2"/>
  <c r="N91" i="2"/>
  <c r="M91" i="2"/>
  <c r="L91" i="2"/>
  <c r="K91" i="2"/>
  <c r="J91" i="2"/>
  <c r="I91" i="2"/>
  <c r="H91" i="2"/>
  <c r="G91" i="2"/>
  <c r="AL90" i="2"/>
  <c r="AK90" i="2"/>
  <c r="AJ90" i="2"/>
  <c r="AI90" i="2"/>
  <c r="AH90" i="2"/>
  <c r="AG90" i="2"/>
  <c r="AF90" i="2"/>
  <c r="AE90" i="2"/>
  <c r="AD90" i="2"/>
  <c r="AC90" i="2"/>
  <c r="AB90" i="2"/>
  <c r="AA90" i="2"/>
  <c r="Z90" i="2"/>
  <c r="Y90" i="2"/>
  <c r="X90" i="2"/>
  <c r="W90" i="2"/>
  <c r="V90" i="2"/>
  <c r="U90" i="2"/>
  <c r="T90" i="2"/>
  <c r="S90" i="2"/>
  <c r="R90" i="2"/>
  <c r="Q90" i="2"/>
  <c r="P90" i="2"/>
  <c r="O90" i="2"/>
  <c r="N90" i="2"/>
  <c r="M90" i="2"/>
  <c r="L90" i="2"/>
  <c r="K90" i="2"/>
  <c r="J90" i="2"/>
  <c r="I90" i="2"/>
  <c r="H90" i="2"/>
  <c r="G90" i="2"/>
  <c r="AL88" i="2"/>
  <c r="AK88" i="2"/>
  <c r="AJ88" i="2"/>
  <c r="AI88" i="2"/>
  <c r="AH88" i="2"/>
  <c r="AG88" i="2"/>
  <c r="AF88" i="2"/>
  <c r="AE88" i="2"/>
  <c r="AD88" i="2"/>
  <c r="AC88" i="2"/>
  <c r="AB88" i="2"/>
  <c r="AA88" i="2"/>
  <c r="Z88" i="2"/>
  <c r="Y88" i="2"/>
  <c r="X88" i="2"/>
  <c r="W88" i="2"/>
  <c r="V88" i="2"/>
  <c r="U88" i="2"/>
  <c r="T88" i="2"/>
  <c r="S88" i="2"/>
  <c r="R88" i="2"/>
  <c r="Q88" i="2"/>
  <c r="P88" i="2"/>
  <c r="O88" i="2"/>
  <c r="N88" i="2"/>
  <c r="M88" i="2"/>
  <c r="L88" i="2"/>
  <c r="K88" i="2"/>
  <c r="J88" i="2"/>
  <c r="I88" i="2"/>
  <c r="H88" i="2"/>
  <c r="G88" i="2"/>
  <c r="AL87" i="2"/>
  <c r="AK87" i="2"/>
  <c r="AJ87" i="2"/>
  <c r="AI87" i="2"/>
  <c r="AH87" i="2"/>
  <c r="AG87" i="2"/>
  <c r="AF87" i="2"/>
  <c r="AE87" i="2"/>
  <c r="AD87" i="2"/>
  <c r="AC87" i="2"/>
  <c r="AB87" i="2"/>
  <c r="AA87" i="2"/>
  <c r="Z87" i="2"/>
  <c r="Y87" i="2"/>
  <c r="X87" i="2"/>
  <c r="W87" i="2"/>
  <c r="V87" i="2"/>
  <c r="U87" i="2"/>
  <c r="T87" i="2"/>
  <c r="S87" i="2"/>
  <c r="R87" i="2"/>
  <c r="Q87" i="2"/>
  <c r="P87" i="2"/>
  <c r="O87" i="2"/>
  <c r="N87" i="2"/>
  <c r="M87" i="2"/>
  <c r="L87" i="2"/>
  <c r="K87" i="2"/>
  <c r="J87" i="2"/>
  <c r="I87" i="2"/>
  <c r="H87" i="2"/>
  <c r="G87" i="2"/>
  <c r="AL86" i="2"/>
  <c r="AK86" i="2"/>
  <c r="AJ86" i="2"/>
  <c r="AI86" i="2"/>
  <c r="AH86" i="2"/>
  <c r="AG86" i="2"/>
  <c r="AF86" i="2"/>
  <c r="AE86" i="2"/>
  <c r="AD86" i="2"/>
  <c r="AC86" i="2"/>
  <c r="AB86" i="2"/>
  <c r="AA86" i="2"/>
  <c r="Z86" i="2"/>
  <c r="Y86" i="2"/>
  <c r="X86" i="2"/>
  <c r="W86" i="2"/>
  <c r="V86" i="2"/>
  <c r="U86" i="2"/>
  <c r="T86" i="2"/>
  <c r="S86" i="2"/>
  <c r="R86" i="2"/>
  <c r="Q86" i="2"/>
  <c r="P86" i="2"/>
  <c r="O86" i="2"/>
  <c r="N86" i="2"/>
  <c r="M86" i="2"/>
  <c r="L86" i="2"/>
  <c r="K86" i="2"/>
  <c r="J86" i="2"/>
  <c r="I86" i="2"/>
  <c r="H86" i="2"/>
  <c r="G86" i="2"/>
  <c r="AL85" i="2"/>
  <c r="AK85" i="2"/>
  <c r="AJ85" i="2"/>
  <c r="AI85" i="2"/>
  <c r="AH85" i="2"/>
  <c r="AG85" i="2"/>
  <c r="AF85" i="2"/>
  <c r="AE85" i="2"/>
  <c r="AD85" i="2"/>
  <c r="AC85" i="2"/>
  <c r="AB85" i="2"/>
  <c r="AA85" i="2"/>
  <c r="Z85" i="2"/>
  <c r="Y85" i="2"/>
  <c r="X85" i="2"/>
  <c r="W85" i="2"/>
  <c r="V85" i="2"/>
  <c r="U85" i="2"/>
  <c r="T85" i="2"/>
  <c r="S85" i="2"/>
  <c r="R85" i="2"/>
  <c r="Q85" i="2"/>
  <c r="P85" i="2"/>
  <c r="O85" i="2"/>
  <c r="N85" i="2"/>
  <c r="M85" i="2"/>
  <c r="L85" i="2"/>
  <c r="K85" i="2"/>
  <c r="J85" i="2"/>
  <c r="I85" i="2"/>
  <c r="H85" i="2"/>
  <c r="G85" i="2"/>
  <c r="AL83" i="2"/>
  <c r="AK83" i="2"/>
  <c r="AJ83" i="2"/>
  <c r="AI83" i="2"/>
  <c r="AH83" i="2"/>
  <c r="AG83" i="2"/>
  <c r="AF83" i="2"/>
  <c r="AE83" i="2"/>
  <c r="AD83" i="2"/>
  <c r="AC83" i="2"/>
  <c r="AB83" i="2"/>
  <c r="AA83" i="2"/>
  <c r="Z83" i="2"/>
  <c r="Y83" i="2"/>
  <c r="X83" i="2"/>
  <c r="W83" i="2"/>
  <c r="V83" i="2"/>
  <c r="U83" i="2"/>
  <c r="T83" i="2"/>
  <c r="S83" i="2"/>
  <c r="R83" i="2"/>
  <c r="Q83" i="2"/>
  <c r="P83" i="2"/>
  <c r="O83" i="2"/>
  <c r="N83" i="2"/>
  <c r="M83" i="2"/>
  <c r="L83" i="2"/>
  <c r="K83" i="2"/>
  <c r="J83" i="2"/>
  <c r="I83" i="2"/>
  <c r="H83" i="2"/>
  <c r="G83" i="2"/>
  <c r="AL82" i="2"/>
  <c r="AK82" i="2"/>
  <c r="AJ82" i="2"/>
  <c r="AI82" i="2"/>
  <c r="AH82" i="2"/>
  <c r="AG82" i="2"/>
  <c r="AF82" i="2"/>
  <c r="AE82" i="2"/>
  <c r="AD82" i="2"/>
  <c r="AC82" i="2"/>
  <c r="AB82" i="2"/>
  <c r="AA82" i="2"/>
  <c r="Z82" i="2"/>
  <c r="Y82" i="2"/>
  <c r="X82" i="2"/>
  <c r="W82" i="2"/>
  <c r="V82" i="2"/>
  <c r="U82" i="2"/>
  <c r="T82" i="2"/>
  <c r="S82" i="2"/>
  <c r="R82" i="2"/>
  <c r="Q82" i="2"/>
  <c r="P82" i="2"/>
  <c r="O82" i="2"/>
  <c r="N82" i="2"/>
  <c r="M82" i="2"/>
  <c r="L82" i="2"/>
  <c r="K82" i="2"/>
  <c r="J82" i="2"/>
  <c r="I82" i="2"/>
  <c r="H82" i="2"/>
  <c r="G82" i="2"/>
  <c r="AL81" i="2"/>
  <c r="AK81" i="2"/>
  <c r="AJ81" i="2"/>
  <c r="AI81" i="2"/>
  <c r="AH81" i="2"/>
  <c r="AG81" i="2"/>
  <c r="AF81" i="2"/>
  <c r="AE81" i="2"/>
  <c r="AD81" i="2"/>
  <c r="AC81" i="2"/>
  <c r="AB81" i="2"/>
  <c r="AA81" i="2"/>
  <c r="Z81" i="2"/>
  <c r="Y81" i="2"/>
  <c r="X81" i="2"/>
  <c r="W81" i="2"/>
  <c r="V81" i="2"/>
  <c r="U81" i="2"/>
  <c r="T81" i="2"/>
  <c r="S81" i="2"/>
  <c r="R81" i="2"/>
  <c r="Q81" i="2"/>
  <c r="P81" i="2"/>
  <c r="O81" i="2"/>
  <c r="N81" i="2"/>
  <c r="M81" i="2"/>
  <c r="L81" i="2"/>
  <c r="K81" i="2"/>
  <c r="J81" i="2"/>
  <c r="I81" i="2"/>
  <c r="H81" i="2"/>
  <c r="G81" i="2"/>
  <c r="Q3" i="3"/>
  <c r="Q4" i="3"/>
  <c r="Q5" i="3"/>
  <c r="Q6" i="3"/>
  <c r="Q7" i="3"/>
  <c r="Q8" i="3"/>
  <c r="Q9" i="3"/>
  <c r="Q10" i="3"/>
  <c r="Q11" i="3"/>
  <c r="Q12" i="3"/>
  <c r="Q13" i="3"/>
  <c r="Q14" i="3"/>
  <c r="Q15" i="3"/>
  <c r="Q16" i="3"/>
  <c r="Q17" i="3"/>
  <c r="Q18" i="3"/>
  <c r="Q2" i="3"/>
  <c r="AI41" i="2"/>
  <c r="AJ41" i="2"/>
  <c r="Q41" i="2"/>
  <c r="N41" i="2"/>
  <c r="G41" i="2"/>
  <c r="W41" i="2"/>
  <c r="H41" i="2"/>
  <c r="X41" i="2"/>
  <c r="U41" i="2"/>
  <c r="AK41" i="2"/>
  <c r="R41" i="2"/>
  <c r="AH41" i="2"/>
  <c r="S41" i="2"/>
  <c r="T41" i="2"/>
  <c r="AG41" i="2"/>
  <c r="AD41" i="2"/>
  <c r="K41" i="2"/>
  <c r="AA41" i="2"/>
  <c r="L41" i="2"/>
  <c r="AB41" i="2"/>
  <c r="I41" i="2"/>
  <c r="Y41" i="2"/>
  <c r="AM41" i="2"/>
  <c r="V41" i="2"/>
  <c r="AL41" i="2"/>
  <c r="O41" i="2"/>
  <c r="AE41" i="2"/>
  <c r="P41" i="2"/>
  <c r="AF41" i="2"/>
  <c r="M41" i="2"/>
  <c r="AC41" i="2"/>
  <c r="J41" i="2"/>
  <c r="AN82" i="2"/>
  <c r="AP82" i="2"/>
  <c r="AM101" i="2"/>
  <c r="AN83" i="2"/>
  <c r="AP83" i="2"/>
  <c r="AM102" i="2"/>
  <c r="AN85" i="2"/>
  <c r="AP85" i="2"/>
  <c r="AM104" i="2"/>
  <c r="AN86" i="2"/>
  <c r="AP86" i="2"/>
  <c r="AM105" i="2"/>
  <c r="AN87" i="2"/>
  <c r="AP87" i="2"/>
  <c r="AM106" i="2"/>
  <c r="H101" i="2"/>
  <c r="X101" i="2"/>
  <c r="L102" i="2"/>
  <c r="H106" i="2"/>
  <c r="L106" i="2"/>
  <c r="T106" i="2"/>
  <c r="Q102" i="2"/>
  <c r="AG104" i="2"/>
  <c r="I106" i="2"/>
  <c r="Q106" i="2"/>
  <c r="AC106" i="2"/>
  <c r="AG106" i="2"/>
  <c r="Z106" i="2"/>
  <c r="AD106" i="2"/>
  <c r="AL106" i="2"/>
  <c r="AF106" i="2"/>
  <c r="AA106" i="2"/>
  <c r="AE106" i="2"/>
  <c r="AN88" i="2"/>
  <c r="AP88" i="2"/>
  <c r="AM107" i="2"/>
  <c r="E92" i="1"/>
  <c r="E13" i="1"/>
  <c r="AN90" i="2"/>
  <c r="AP90" i="2"/>
  <c r="AM109" i="2"/>
  <c r="AN91" i="2"/>
  <c r="AP91" i="2"/>
  <c r="AM110" i="2"/>
  <c r="AN92" i="2"/>
  <c r="AP92" i="2"/>
  <c r="AM111" i="2"/>
  <c r="W111" i="2"/>
  <c r="AN93" i="2"/>
  <c r="AP93" i="2"/>
  <c r="AM112" i="2"/>
  <c r="AN94" i="2"/>
  <c r="AP94" i="2"/>
  <c r="AM113" i="2"/>
  <c r="AN95" i="2"/>
  <c r="AP95" i="2"/>
  <c r="AM114" i="2"/>
  <c r="AN96" i="2"/>
  <c r="AP96" i="2"/>
  <c r="AM115" i="2"/>
  <c r="AN97" i="2"/>
  <c r="AP97" i="2"/>
  <c r="AM116" i="2"/>
  <c r="AN98" i="2"/>
  <c r="AP98" i="2"/>
  <c r="AM117" i="2"/>
  <c r="C10" i="1"/>
  <c r="C11" i="1"/>
  <c r="C12" i="1"/>
  <c r="C9"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60" i="1"/>
  <c r="C4" i="1"/>
  <c r="K114" i="2"/>
  <c r="AE112" i="2"/>
  <c r="AI106" i="2"/>
  <c r="AL112" i="2"/>
  <c r="AK106" i="2"/>
  <c r="M106" i="2"/>
  <c r="AB106" i="2"/>
  <c r="AF104" i="2"/>
  <c r="K106" i="2"/>
  <c r="AI112" i="2"/>
  <c r="S112" i="2"/>
  <c r="AA116" i="2"/>
  <c r="T114" i="2"/>
  <c r="G101" i="2"/>
  <c r="W116" i="2"/>
  <c r="AI114" i="2"/>
  <c r="O112" i="2"/>
  <c r="AJ112" i="2"/>
  <c r="Y105" i="2"/>
  <c r="Q104" i="2"/>
  <c r="AB105" i="2"/>
  <c r="P104" i="2"/>
  <c r="AF101" i="2"/>
  <c r="P101" i="2"/>
  <c r="W104" i="2"/>
  <c r="AA101" i="2"/>
  <c r="Q101" i="2"/>
  <c r="AG116" i="2"/>
  <c r="AC104" i="2"/>
  <c r="AK101" i="2"/>
  <c r="AB104" i="2"/>
  <c r="AJ101" i="2"/>
  <c r="T101" i="2"/>
  <c r="AA104" i="2"/>
  <c r="O117" i="2"/>
  <c r="K116" i="2"/>
  <c r="AA114" i="2"/>
  <c r="Q105" i="2"/>
  <c r="M104" i="2"/>
  <c r="T105" i="2"/>
  <c r="L104" i="2"/>
  <c r="AB101" i="2"/>
  <c r="L101" i="2"/>
  <c r="W105" i="2"/>
  <c r="K104" i="2"/>
  <c r="W101" i="2"/>
  <c r="AN41" i="2"/>
  <c r="G110" i="2"/>
  <c r="AG114" i="2"/>
  <c r="AL117" i="2"/>
  <c r="AL110" i="2"/>
  <c r="N104" i="2"/>
  <c r="AI116" i="2"/>
  <c r="S116" i="2"/>
  <c r="G116" i="2"/>
  <c r="W114" i="2"/>
  <c r="G114" i="2"/>
  <c r="AA110" i="2"/>
  <c r="AB117" i="2"/>
  <c r="AJ110" i="2"/>
  <c r="V116" i="2"/>
  <c r="AG112" i="2"/>
  <c r="I105" i="2"/>
  <c r="Y104" i="2"/>
  <c r="I104" i="2"/>
  <c r="L105" i="2"/>
  <c r="X104" i="2"/>
  <c r="H104" i="2"/>
  <c r="AI104" i="2"/>
  <c r="S104" i="2"/>
  <c r="G104" i="2"/>
  <c r="AE117" i="2"/>
  <c r="AE116" i="2"/>
  <c r="O116" i="2"/>
  <c r="S114" i="2"/>
  <c r="W113" i="2"/>
  <c r="W112" i="2"/>
  <c r="G112" i="2"/>
  <c r="W110" i="2"/>
  <c r="W106" i="2"/>
  <c r="T116" i="2"/>
  <c r="AJ106" i="2"/>
  <c r="V114" i="2"/>
  <c r="AH106" i="2"/>
  <c r="AG110" i="2"/>
  <c r="Y106" i="2"/>
  <c r="AG105" i="2"/>
  <c r="AK104" i="2"/>
  <c r="U104" i="2"/>
  <c r="AG102" i="2"/>
  <c r="X106" i="2"/>
  <c r="AJ105" i="2"/>
  <c r="AJ104" i="2"/>
  <c r="T104" i="2"/>
  <c r="AB102" i="2"/>
  <c r="G106" i="2"/>
  <c r="AE104" i="2"/>
  <c r="O104" i="2"/>
  <c r="W102" i="2"/>
  <c r="R104" i="2"/>
  <c r="AB109" i="2"/>
  <c r="AL109" i="2"/>
  <c r="Q107" i="2"/>
  <c r="E70" i="1"/>
  <c r="O113" i="2"/>
  <c r="AA112" i="2"/>
  <c r="K112" i="2"/>
  <c r="S110" i="2"/>
  <c r="AE109" i="2"/>
  <c r="AI107" i="2"/>
  <c r="E88" i="1"/>
  <c r="S107" i="2"/>
  <c r="E72" i="1"/>
  <c r="G107" i="2"/>
  <c r="E60" i="1"/>
  <c r="Y116" i="2"/>
  <c r="Y114" i="2"/>
  <c r="L117" i="2"/>
  <c r="L116" i="2"/>
  <c r="L114" i="2"/>
  <c r="AB112" i="2"/>
  <c r="AB110" i="2"/>
  <c r="L109" i="2"/>
  <c r="L107" i="2"/>
  <c r="E65" i="1"/>
  <c r="V117" i="2"/>
  <c r="N116" i="2"/>
  <c r="N114" i="2"/>
  <c r="AD112" i="2"/>
  <c r="AD110" i="2"/>
  <c r="V109" i="2"/>
  <c r="N107" i="2"/>
  <c r="E67" i="1"/>
  <c r="Y112" i="2"/>
  <c r="Y110" i="2"/>
  <c r="Q109" i="2"/>
  <c r="I107" i="2"/>
  <c r="E62" i="1"/>
  <c r="O105" i="2"/>
  <c r="S101" i="2"/>
  <c r="N106" i="2"/>
  <c r="AH101" i="2"/>
  <c r="V106" i="2"/>
  <c r="Z101" i="2"/>
  <c r="AI110" i="2"/>
  <c r="K110" i="2"/>
  <c r="W109" i="2"/>
  <c r="AE107" i="2"/>
  <c r="E84" i="1"/>
  <c r="O107" i="2"/>
  <c r="E68" i="1"/>
  <c r="Y117" i="2"/>
  <c r="Q116" i="2"/>
  <c r="Q114" i="2"/>
  <c r="AJ116" i="2"/>
  <c r="AJ114" i="2"/>
  <c r="AB113" i="2"/>
  <c r="T112" i="2"/>
  <c r="T110" i="2"/>
  <c r="AJ107" i="2"/>
  <c r="E89" i="1"/>
  <c r="AL116" i="2"/>
  <c r="AL114" i="2"/>
  <c r="AL113" i="2"/>
  <c r="V112" i="2"/>
  <c r="V110" i="2"/>
  <c r="AL107" i="2"/>
  <c r="E91" i="1"/>
  <c r="AG113" i="2"/>
  <c r="Q112" i="2"/>
  <c r="Q110" i="2"/>
  <c r="AG107" i="2"/>
  <c r="E86" i="1"/>
  <c r="AI101" i="2"/>
  <c r="K101" i="2"/>
  <c r="N105" i="2"/>
  <c r="V101" i="2"/>
  <c r="AH105" i="2"/>
  <c r="J101" i="2"/>
  <c r="W107" i="2"/>
  <c r="E76" i="1"/>
  <c r="T107" i="2"/>
  <c r="E73" i="1"/>
  <c r="V107" i="2"/>
  <c r="E75" i="1"/>
  <c r="AG109" i="2"/>
  <c r="W117" i="2"/>
  <c r="AE113" i="2"/>
  <c r="O109" i="2"/>
  <c r="AA107" i="2"/>
  <c r="E80" i="1"/>
  <c r="K107" i="2"/>
  <c r="E64" i="1"/>
  <c r="I117" i="2"/>
  <c r="I116" i="2"/>
  <c r="I114" i="2"/>
  <c r="AB116" i="2"/>
  <c r="AB114" i="2"/>
  <c r="L113" i="2"/>
  <c r="L112" i="2"/>
  <c r="L110" i="2"/>
  <c r="AB107" i="2"/>
  <c r="E81" i="1"/>
  <c r="AD116" i="2"/>
  <c r="AD114" i="2"/>
  <c r="V113" i="2"/>
  <c r="N112" i="2"/>
  <c r="N110" i="2"/>
  <c r="AD107" i="2"/>
  <c r="E83" i="1"/>
  <c r="Q113" i="2"/>
  <c r="I112" i="2"/>
  <c r="I110" i="2"/>
  <c r="Y107" i="2"/>
  <c r="E78" i="1"/>
  <c r="S106" i="2"/>
  <c r="AE105" i="2"/>
  <c r="AD104" i="2"/>
  <c r="AC101" i="2"/>
  <c r="AH104" i="2"/>
  <c r="Y101" i="2"/>
  <c r="W115" i="2"/>
  <c r="AE115" i="2"/>
  <c r="O115" i="2"/>
  <c r="AE111" i="2"/>
  <c r="O111" i="2"/>
  <c r="AG117" i="2"/>
  <c r="Q117" i="2"/>
  <c r="AG115" i="2"/>
  <c r="Q115" i="2"/>
  <c r="AJ117" i="2"/>
  <c r="T117" i="2"/>
  <c r="AJ115" i="2"/>
  <c r="T115" i="2"/>
  <c r="AJ113" i="2"/>
  <c r="T113" i="2"/>
  <c r="AJ111" i="2"/>
  <c r="T111" i="2"/>
  <c r="AJ109" i="2"/>
  <c r="T109" i="2"/>
  <c r="AD117" i="2"/>
  <c r="N117" i="2"/>
  <c r="AD115" i="2"/>
  <c r="N115" i="2"/>
  <c r="AD113" i="2"/>
  <c r="N113" i="2"/>
  <c r="AD111" i="2"/>
  <c r="N111" i="2"/>
  <c r="AD109" i="2"/>
  <c r="N109" i="2"/>
  <c r="Y113" i="2"/>
  <c r="I113" i="2"/>
  <c r="Y111" i="2"/>
  <c r="I111" i="2"/>
  <c r="Y109" i="2"/>
  <c r="I109" i="2"/>
  <c r="Y102" i="2"/>
  <c r="I102" i="2"/>
  <c r="AJ102" i="2"/>
  <c r="T102" i="2"/>
  <c r="AE102" i="2"/>
  <c r="O102" i="2"/>
  <c r="AD105" i="2"/>
  <c r="AD102" i="2"/>
  <c r="R105" i="2"/>
  <c r="R102" i="2"/>
  <c r="AI117" i="2"/>
  <c r="S117" i="2"/>
  <c r="G117" i="2"/>
  <c r="AA115" i="2"/>
  <c r="K115" i="2"/>
  <c r="AE114" i="2"/>
  <c r="O114" i="2"/>
  <c r="AI113" i="2"/>
  <c r="S113" i="2"/>
  <c r="G113" i="2"/>
  <c r="AA111" i="2"/>
  <c r="K111" i="2"/>
  <c r="AE110" i="2"/>
  <c r="O110" i="2"/>
  <c r="AI109" i="2"/>
  <c r="S109" i="2"/>
  <c r="G109" i="2"/>
  <c r="AC117" i="2"/>
  <c r="M117" i="2"/>
  <c r="AC116" i="2"/>
  <c r="M116" i="2"/>
  <c r="AC115" i="2"/>
  <c r="M115" i="2"/>
  <c r="AC114" i="2"/>
  <c r="M114" i="2"/>
  <c r="AF117" i="2"/>
  <c r="P117" i="2"/>
  <c r="AF116" i="2"/>
  <c r="P116" i="2"/>
  <c r="AF115" i="2"/>
  <c r="P115" i="2"/>
  <c r="AF114" i="2"/>
  <c r="P114" i="2"/>
  <c r="AF113" i="2"/>
  <c r="P113" i="2"/>
  <c r="AF112" i="2"/>
  <c r="P112" i="2"/>
  <c r="AF111" i="2"/>
  <c r="P111" i="2"/>
  <c r="AF110" i="2"/>
  <c r="P110" i="2"/>
  <c r="AF109" i="2"/>
  <c r="P109" i="2"/>
  <c r="AF107" i="2"/>
  <c r="E85" i="1"/>
  <c r="P107" i="2"/>
  <c r="E69" i="1"/>
  <c r="Z117" i="2"/>
  <c r="J117" i="2"/>
  <c r="Z116" i="2"/>
  <c r="J116" i="2"/>
  <c r="Z115" i="2"/>
  <c r="J115" i="2"/>
  <c r="Z114" i="2"/>
  <c r="J114" i="2"/>
  <c r="Z113" i="2"/>
  <c r="J113" i="2"/>
  <c r="Z112" i="2"/>
  <c r="J112" i="2"/>
  <c r="Z111" i="2"/>
  <c r="J111" i="2"/>
  <c r="Z110" i="2"/>
  <c r="J110" i="2"/>
  <c r="Z109" i="2"/>
  <c r="J109" i="2"/>
  <c r="Z107" i="2"/>
  <c r="E79" i="1"/>
  <c r="J107" i="2"/>
  <c r="E63" i="1"/>
  <c r="U113" i="2"/>
  <c r="AK112" i="2"/>
  <c r="U112" i="2"/>
  <c r="AK111" i="2"/>
  <c r="U111" i="2"/>
  <c r="AK110" i="2"/>
  <c r="U110" i="2"/>
  <c r="AK109" i="2"/>
  <c r="U109" i="2"/>
  <c r="AK107" i="2"/>
  <c r="E90" i="1"/>
  <c r="U107" i="2"/>
  <c r="E74" i="1"/>
  <c r="U106" i="2"/>
  <c r="AK105" i="2"/>
  <c r="U105" i="2"/>
  <c r="AK102" i="2"/>
  <c r="U102" i="2"/>
  <c r="P106" i="2"/>
  <c r="AF105" i="2"/>
  <c r="P105" i="2"/>
  <c r="AF102" i="2"/>
  <c r="P102" i="2"/>
  <c r="O106" i="2"/>
  <c r="AI105" i="2"/>
  <c r="S105" i="2"/>
  <c r="G105" i="2"/>
  <c r="AA102" i="2"/>
  <c r="K102" i="2"/>
  <c r="AE101" i="2"/>
  <c r="O101" i="2"/>
  <c r="R106" i="2"/>
  <c r="V105" i="2"/>
  <c r="V104" i="2"/>
  <c r="V102" i="2"/>
  <c r="AD101" i="2"/>
  <c r="U101" i="2"/>
  <c r="J106" i="2"/>
  <c r="J105" i="2"/>
  <c r="J104" i="2"/>
  <c r="J102" i="2"/>
  <c r="AG101" i="2"/>
  <c r="Y115" i="2"/>
  <c r="I115" i="2"/>
  <c r="AB115" i="2"/>
  <c r="L115" i="2"/>
  <c r="AB111" i="2"/>
  <c r="L111" i="2"/>
  <c r="AL115" i="2"/>
  <c r="V115" i="2"/>
  <c r="AL111" i="2"/>
  <c r="V111" i="2"/>
  <c r="AG111" i="2"/>
  <c r="Q111" i="2"/>
  <c r="N102" i="2"/>
  <c r="AH102" i="2"/>
  <c r="AA117" i="2"/>
  <c r="K117" i="2"/>
  <c r="AI115" i="2"/>
  <c r="S115" i="2"/>
  <c r="G115" i="2"/>
  <c r="AA113" i="2"/>
  <c r="K113" i="2"/>
  <c r="AI111" i="2"/>
  <c r="S111" i="2"/>
  <c r="G111" i="2"/>
  <c r="AA109" i="2"/>
  <c r="K109" i="2"/>
  <c r="AK117" i="2"/>
  <c r="U117" i="2"/>
  <c r="AK116" i="2"/>
  <c r="U116" i="2"/>
  <c r="AK115" i="2"/>
  <c r="U115" i="2"/>
  <c r="AK114" i="2"/>
  <c r="U114" i="2"/>
  <c r="AK113" i="2"/>
  <c r="X117" i="2"/>
  <c r="H117" i="2"/>
  <c r="X116" i="2"/>
  <c r="H116" i="2"/>
  <c r="X115" i="2"/>
  <c r="H115" i="2"/>
  <c r="X114" i="2"/>
  <c r="H114" i="2"/>
  <c r="X113" i="2"/>
  <c r="H113" i="2"/>
  <c r="X112" i="2"/>
  <c r="H112" i="2"/>
  <c r="X111" i="2"/>
  <c r="H111" i="2"/>
  <c r="X110" i="2"/>
  <c r="H110" i="2"/>
  <c r="X109" i="2"/>
  <c r="H109" i="2"/>
  <c r="X107" i="2"/>
  <c r="E77" i="1"/>
  <c r="H107" i="2"/>
  <c r="E61" i="1"/>
  <c r="AH117" i="2"/>
  <c r="R117" i="2"/>
  <c r="AH116" i="2"/>
  <c r="R116" i="2"/>
  <c r="AH115" i="2"/>
  <c r="R115" i="2"/>
  <c r="AH114" i="2"/>
  <c r="R114" i="2"/>
  <c r="AH113" i="2"/>
  <c r="R113" i="2"/>
  <c r="AH112" i="2"/>
  <c r="R112" i="2"/>
  <c r="AH111" i="2"/>
  <c r="R111" i="2"/>
  <c r="AH110" i="2"/>
  <c r="R110" i="2"/>
  <c r="AH109" i="2"/>
  <c r="R109" i="2"/>
  <c r="AH107" i="2"/>
  <c r="E87" i="1"/>
  <c r="R107" i="2"/>
  <c r="E71" i="1"/>
  <c r="AC113" i="2"/>
  <c r="M113" i="2"/>
  <c r="AC112" i="2"/>
  <c r="M112" i="2"/>
  <c r="AC111" i="2"/>
  <c r="M111" i="2"/>
  <c r="AC110" i="2"/>
  <c r="M110" i="2"/>
  <c r="AC109" i="2"/>
  <c r="M109" i="2"/>
  <c r="AC107" i="2"/>
  <c r="E82" i="1"/>
  <c r="M107" i="2"/>
  <c r="E66" i="1"/>
  <c r="AC105" i="2"/>
  <c r="M105" i="2"/>
  <c r="AC102" i="2"/>
  <c r="M102" i="2"/>
  <c r="X105" i="2"/>
  <c r="H105" i="2"/>
  <c r="X102" i="2"/>
  <c r="H102" i="2"/>
  <c r="AA105" i="2"/>
  <c r="K105" i="2"/>
  <c r="AI102" i="2"/>
  <c r="S102" i="2"/>
  <c r="G102" i="2"/>
  <c r="AL105" i="2"/>
  <c r="AL104" i="2"/>
  <c r="AL102" i="2"/>
  <c r="AL101" i="2"/>
  <c r="N101" i="2"/>
  <c r="I101" i="2"/>
  <c r="Z105" i="2"/>
  <c r="Z104" i="2"/>
  <c r="Z102" i="2"/>
  <c r="R101" i="2"/>
  <c r="M101" i="2"/>
  <c r="C5" i="1"/>
  <c r="P3" i="1"/>
  <c r="AL21" i="2"/>
  <c r="AL23" i="2"/>
  <c r="AL25" i="2"/>
  <c r="AL26" i="2"/>
  <c r="AL27" i="2"/>
  <c r="AL28" i="2"/>
  <c r="AL30" i="2"/>
  <c r="AL31" i="2"/>
  <c r="AL32" i="2"/>
  <c r="AL33" i="2"/>
  <c r="AL34" i="2"/>
  <c r="AL35" i="2"/>
  <c r="AL36"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G37" i="2"/>
  <c r="G38" i="2"/>
  <c r="E12" i="1"/>
  <c r="G63" i="1"/>
  <c r="E24" i="1"/>
  <c r="G62" i="1"/>
  <c r="E23" i="1"/>
  <c r="E10" i="1"/>
  <c r="G78" i="1"/>
  <c r="G71" i="1"/>
  <c r="G85" i="1"/>
  <c r="G75" i="1"/>
  <c r="E20" i="1"/>
  <c r="G73" i="1"/>
  <c r="G77" i="1"/>
  <c r="G83" i="1"/>
  <c r="E17" i="1"/>
  <c r="G60" i="1"/>
  <c r="G66" i="1"/>
  <c r="G88" i="1"/>
  <c r="G82" i="1"/>
  <c r="G76" i="1"/>
  <c r="G65" i="1"/>
  <c r="E22" i="1"/>
  <c r="G67" i="1"/>
  <c r="G74" i="1"/>
  <c r="G87" i="1"/>
  <c r="G84" i="1"/>
  <c r="G69" i="1"/>
  <c r="G64" i="1"/>
  <c r="E93" i="1"/>
  <c r="G81" i="1"/>
  <c r="G80" i="1"/>
  <c r="G90" i="1"/>
  <c r="E21" i="1"/>
  <c r="G89" i="1"/>
  <c r="E19" i="1"/>
  <c r="G91" i="1"/>
  <c r="G70" i="1"/>
  <c r="G68" i="1"/>
  <c r="E18" i="1"/>
  <c r="G61" i="1"/>
  <c r="G79" i="1"/>
  <c r="E9" i="1"/>
  <c r="G86" i="1"/>
  <c r="G72" i="1"/>
  <c r="E11" i="1"/>
  <c r="AN36" i="2"/>
  <c r="AP36" i="2"/>
  <c r="AL55" i="2"/>
  <c r="AN32" i="2"/>
  <c r="AP32" i="2"/>
  <c r="AL51" i="2"/>
  <c r="AN27" i="2"/>
  <c r="AP27" i="2"/>
  <c r="AL46" i="2"/>
  <c r="AN35" i="2"/>
  <c r="AP35" i="2"/>
  <c r="AL54" i="2"/>
  <c r="AN31" i="2"/>
  <c r="AP31" i="2"/>
  <c r="AL50" i="2"/>
  <c r="AN26" i="2"/>
  <c r="AP26" i="2"/>
  <c r="AL45" i="2"/>
  <c r="AN34" i="2"/>
  <c r="AP34" i="2"/>
  <c r="AL53" i="2"/>
  <c r="AN30" i="2"/>
  <c r="AP30" i="2"/>
  <c r="AN25" i="2"/>
  <c r="AP25" i="2"/>
  <c r="AL44" i="2"/>
  <c r="AN33" i="2"/>
  <c r="AP33" i="2"/>
  <c r="AL52" i="2"/>
  <c r="AN28" i="2"/>
  <c r="AP28" i="2"/>
  <c r="AL47" i="2"/>
  <c r="AN23" i="2"/>
  <c r="AP23" i="2"/>
  <c r="AL42" i="2"/>
  <c r="AN110" i="2"/>
  <c r="AN37" i="2"/>
  <c r="AP37" i="2"/>
  <c r="AM56" i="2"/>
  <c r="AN104" i="2"/>
  <c r="AN106" i="2"/>
  <c r="AN107" i="2"/>
  <c r="AN114" i="2"/>
  <c r="AN116" i="2"/>
  <c r="AN112" i="2"/>
  <c r="AN101" i="2"/>
  <c r="AN105" i="2"/>
  <c r="AN113" i="2"/>
  <c r="AN38" i="2"/>
  <c r="AP38" i="2"/>
  <c r="AM57" i="2"/>
  <c r="AN109" i="2"/>
  <c r="AN111" i="2"/>
  <c r="AN115" i="2"/>
  <c r="AN117" i="2"/>
  <c r="F46" i="1"/>
  <c r="B46" i="1"/>
  <c r="F47" i="1"/>
  <c r="B47" i="1"/>
  <c r="F45" i="1"/>
  <c r="B45" i="1"/>
  <c r="F49" i="1"/>
  <c r="B49" i="1"/>
  <c r="F50" i="1"/>
  <c r="B50" i="1"/>
  <c r="F51" i="1"/>
  <c r="B51" i="1"/>
  <c r="F43" i="1"/>
  <c r="B43" i="1"/>
  <c r="F42" i="1"/>
  <c r="D42" i="1"/>
  <c r="F44" i="1"/>
  <c r="B44" i="1"/>
  <c r="F48" i="1"/>
  <c r="B48" i="1"/>
  <c r="AB56" i="2"/>
  <c r="Q56" i="2"/>
  <c r="R56" i="2"/>
  <c r="G56" i="2"/>
  <c r="AE56" i="2"/>
  <c r="AF56" i="2"/>
  <c r="AC56" i="2"/>
  <c r="V56" i="2"/>
  <c r="K56" i="2"/>
  <c r="L56" i="2"/>
  <c r="AG56" i="2"/>
  <c r="AH56" i="2"/>
  <c r="O56" i="2"/>
  <c r="P56" i="2"/>
  <c r="M56" i="2"/>
  <c r="AL56" i="2"/>
  <c r="AA56" i="2"/>
  <c r="M57" i="2"/>
  <c r="AJ57" i="2"/>
  <c r="N57" i="2"/>
  <c r="G57" i="2"/>
  <c r="AE42" i="2"/>
  <c r="K42" i="2"/>
  <c r="AD42" i="2"/>
  <c r="N42" i="2"/>
  <c r="AG42" i="2"/>
  <c r="Q42" i="2"/>
  <c r="AF42" i="2"/>
  <c r="P42" i="2"/>
  <c r="T42" i="2"/>
  <c r="AI42" i="2"/>
  <c r="W42" i="2"/>
  <c r="G42" i="2"/>
  <c r="Z42" i="2"/>
  <c r="J42" i="2"/>
  <c r="AC42" i="2"/>
  <c r="M42" i="2"/>
  <c r="AB42" i="2"/>
  <c r="L42" i="2"/>
  <c r="AH42" i="2"/>
  <c r="U42" i="2"/>
  <c r="AJ42" i="2"/>
  <c r="AA42" i="2"/>
  <c r="S42" i="2"/>
  <c r="V42" i="2"/>
  <c r="Y42" i="2"/>
  <c r="I42" i="2"/>
  <c r="AM42" i="2"/>
  <c r="X42" i="2"/>
  <c r="H42" i="2"/>
  <c r="O42" i="2"/>
  <c r="R42" i="2"/>
  <c r="AK42" i="2"/>
  <c r="AA52" i="2"/>
  <c r="K52" i="2"/>
  <c r="V52" i="2"/>
  <c r="Y52" i="2"/>
  <c r="I52" i="2"/>
  <c r="AM52" i="2"/>
  <c r="X52" i="2"/>
  <c r="H52" i="2"/>
  <c r="L52" i="2"/>
  <c r="S52" i="2"/>
  <c r="AH52" i="2"/>
  <c r="R52" i="2"/>
  <c r="AK52" i="2"/>
  <c r="U52" i="2"/>
  <c r="AJ52" i="2"/>
  <c r="T52" i="2"/>
  <c r="AI52" i="2"/>
  <c r="W52" i="2"/>
  <c r="J52" i="2"/>
  <c r="AC52" i="2"/>
  <c r="AB52" i="2"/>
  <c r="O52" i="2"/>
  <c r="AE52" i="2"/>
  <c r="AD52" i="2"/>
  <c r="N52" i="2"/>
  <c r="AG52" i="2"/>
  <c r="Q52" i="2"/>
  <c r="AF52" i="2"/>
  <c r="P52" i="2"/>
  <c r="G52" i="2"/>
  <c r="Z52" i="2"/>
  <c r="M52" i="2"/>
  <c r="T56" i="2"/>
  <c r="AJ56" i="2"/>
  <c r="U57" i="2"/>
  <c r="AK57" i="2"/>
  <c r="X44" i="2"/>
  <c r="H44" i="2"/>
  <c r="AE44" i="2"/>
  <c r="O44" i="2"/>
  <c r="AH44" i="2"/>
  <c r="R44" i="2"/>
  <c r="AG44" i="2"/>
  <c r="Q44" i="2"/>
  <c r="AJ44" i="2"/>
  <c r="T44" i="2"/>
  <c r="AA44" i="2"/>
  <c r="K44" i="2"/>
  <c r="AM44" i="2"/>
  <c r="AD44" i="2"/>
  <c r="N44" i="2"/>
  <c r="AC44" i="2"/>
  <c r="M44" i="2"/>
  <c r="L44" i="2"/>
  <c r="AI44" i="2"/>
  <c r="V44" i="2"/>
  <c r="AK44" i="2"/>
  <c r="AF44" i="2"/>
  <c r="P44" i="2"/>
  <c r="W44" i="2"/>
  <c r="G44" i="2"/>
  <c r="Z44" i="2"/>
  <c r="J44" i="2"/>
  <c r="Y44" i="2"/>
  <c r="I44" i="2"/>
  <c r="AB44" i="2"/>
  <c r="S44" i="2"/>
  <c r="U44" i="2"/>
  <c r="X53" i="2"/>
  <c r="T53" i="2"/>
  <c r="AG53" i="2"/>
  <c r="W53" i="2"/>
  <c r="G53" i="2"/>
  <c r="J53" i="2"/>
  <c r="Y53" i="2"/>
  <c r="I53" i="2"/>
  <c r="P53" i="2"/>
  <c r="V53" i="2"/>
  <c r="H53" i="2"/>
  <c r="AH53" i="2"/>
  <c r="AI53" i="2"/>
  <c r="S53" i="2"/>
  <c r="U53" i="2"/>
  <c r="Z53" i="2"/>
  <c r="AK53" i="2"/>
  <c r="K53" i="2"/>
  <c r="AM53" i="2"/>
  <c r="AC53" i="2"/>
  <c r="AJ53" i="2"/>
  <c r="L53" i="2"/>
  <c r="AD53" i="2"/>
  <c r="AE53" i="2"/>
  <c r="O53" i="2"/>
  <c r="R53" i="2"/>
  <c r="Q53" i="2"/>
  <c r="AF53" i="2"/>
  <c r="AB53" i="2"/>
  <c r="AA53" i="2"/>
  <c r="N53" i="2"/>
  <c r="M53" i="2"/>
  <c r="U56" i="2"/>
  <c r="AK56" i="2"/>
  <c r="V57" i="2"/>
  <c r="AL57" i="2"/>
  <c r="J56" i="2"/>
  <c r="Z56" i="2"/>
  <c r="K57" i="2"/>
  <c r="AA57" i="2"/>
  <c r="S56" i="2"/>
  <c r="AI56" i="2"/>
  <c r="T57" i="2"/>
  <c r="AJ49" i="2"/>
  <c r="H49" i="2"/>
  <c r="AF49" i="2"/>
  <c r="AI49" i="2"/>
  <c r="S49" i="2"/>
  <c r="AM49" i="2"/>
  <c r="V49" i="2"/>
  <c r="AK49" i="2"/>
  <c r="U49" i="2"/>
  <c r="AB49" i="2"/>
  <c r="X49" i="2"/>
  <c r="AE49" i="2"/>
  <c r="O49" i="2"/>
  <c r="AH49" i="2"/>
  <c r="R49" i="2"/>
  <c r="AG49" i="2"/>
  <c r="Q49" i="2"/>
  <c r="P49" i="2"/>
  <c r="G49" i="2"/>
  <c r="Z49" i="2"/>
  <c r="Y49" i="2"/>
  <c r="T49" i="2"/>
  <c r="L49" i="2"/>
  <c r="AA49" i="2"/>
  <c r="K49" i="2"/>
  <c r="AD49" i="2"/>
  <c r="N49" i="2"/>
  <c r="AC49" i="2"/>
  <c r="M49" i="2"/>
  <c r="W49" i="2"/>
  <c r="J49" i="2"/>
  <c r="I49" i="2"/>
  <c r="AD57" i="2"/>
  <c r="AI57" i="2"/>
  <c r="L57" i="2"/>
  <c r="Q57" i="2"/>
  <c r="AG57" i="2"/>
  <c r="R57" i="2"/>
  <c r="AH57" i="2"/>
  <c r="Y45" i="2"/>
  <c r="I45" i="2"/>
  <c r="AM45" i="2"/>
  <c r="AF45" i="2"/>
  <c r="P45" i="2"/>
  <c r="AI45" i="2"/>
  <c r="S45" i="2"/>
  <c r="AH45" i="2"/>
  <c r="R45" i="2"/>
  <c r="AK45" i="2"/>
  <c r="U45" i="2"/>
  <c r="AB45" i="2"/>
  <c r="L45" i="2"/>
  <c r="AE45" i="2"/>
  <c r="O45" i="2"/>
  <c r="AD45" i="2"/>
  <c r="N45" i="2"/>
  <c r="AC45" i="2"/>
  <c r="M45" i="2"/>
  <c r="AJ45" i="2"/>
  <c r="W45" i="2"/>
  <c r="AG45" i="2"/>
  <c r="Q45" i="2"/>
  <c r="X45" i="2"/>
  <c r="H45" i="2"/>
  <c r="AA45" i="2"/>
  <c r="K45" i="2"/>
  <c r="Z45" i="2"/>
  <c r="J45" i="2"/>
  <c r="T45" i="2"/>
  <c r="G45" i="2"/>
  <c r="V45" i="2"/>
  <c r="Y54" i="2"/>
  <c r="AG54" i="2"/>
  <c r="W54" i="2"/>
  <c r="G54" i="2"/>
  <c r="AH54" i="2"/>
  <c r="R54" i="2"/>
  <c r="X54" i="2"/>
  <c r="H54" i="2"/>
  <c r="Q54" i="2"/>
  <c r="U54" i="2"/>
  <c r="AI54" i="2"/>
  <c r="S54" i="2"/>
  <c r="AD54" i="2"/>
  <c r="N54" i="2"/>
  <c r="AJ54" i="2"/>
  <c r="T54" i="2"/>
  <c r="AC54" i="2"/>
  <c r="AA54" i="2"/>
  <c r="L54" i="2"/>
  <c r="AK54" i="2"/>
  <c r="I54" i="2"/>
  <c r="AE54" i="2"/>
  <c r="O54" i="2"/>
  <c r="Z54" i="2"/>
  <c r="J54" i="2"/>
  <c r="AM54" i="2"/>
  <c r="AF54" i="2"/>
  <c r="P54" i="2"/>
  <c r="M54" i="2"/>
  <c r="K54" i="2"/>
  <c r="V54" i="2"/>
  <c r="AB54" i="2"/>
  <c r="W57" i="2"/>
  <c r="AD51" i="2"/>
  <c r="AK51" i="2"/>
  <c r="U51" i="2"/>
  <c r="X51" i="2"/>
  <c r="H51" i="2"/>
  <c r="W51" i="2"/>
  <c r="G51" i="2"/>
  <c r="V51" i="2"/>
  <c r="AH51" i="2"/>
  <c r="AG51" i="2"/>
  <c r="Q51" i="2"/>
  <c r="AJ51" i="2"/>
  <c r="T51" i="2"/>
  <c r="AI51" i="2"/>
  <c r="S51" i="2"/>
  <c r="AM51" i="2"/>
  <c r="J51" i="2"/>
  <c r="I51" i="2"/>
  <c r="AB51" i="2"/>
  <c r="AA51" i="2"/>
  <c r="R51" i="2"/>
  <c r="Z51" i="2"/>
  <c r="AC51" i="2"/>
  <c r="M51" i="2"/>
  <c r="AF51" i="2"/>
  <c r="P51" i="2"/>
  <c r="AE51" i="2"/>
  <c r="O51" i="2"/>
  <c r="N51" i="2"/>
  <c r="Y51" i="2"/>
  <c r="L51" i="2"/>
  <c r="K51" i="2"/>
  <c r="P57" i="2"/>
  <c r="H56" i="2"/>
  <c r="X56" i="2"/>
  <c r="I57" i="2"/>
  <c r="Y57" i="2"/>
  <c r="X57" i="2"/>
  <c r="AL49" i="2"/>
  <c r="I56" i="2"/>
  <c r="Y56" i="2"/>
  <c r="J57" i="2"/>
  <c r="Z57" i="2"/>
  <c r="AB57" i="2"/>
  <c r="AG50" i="2"/>
  <c r="AK50" i="2"/>
  <c r="AJ50" i="2"/>
  <c r="T50" i="2"/>
  <c r="W50" i="2"/>
  <c r="G50" i="2"/>
  <c r="V50" i="2"/>
  <c r="Y50" i="2"/>
  <c r="AC50" i="2"/>
  <c r="AF50" i="2"/>
  <c r="P50" i="2"/>
  <c r="AI50" i="2"/>
  <c r="S50" i="2"/>
  <c r="AH50" i="2"/>
  <c r="R50" i="2"/>
  <c r="I50" i="2"/>
  <c r="AM50" i="2"/>
  <c r="H50" i="2"/>
  <c r="AA50" i="2"/>
  <c r="Z50" i="2"/>
  <c r="U50" i="2"/>
  <c r="Q50" i="2"/>
  <c r="AB50" i="2"/>
  <c r="L50" i="2"/>
  <c r="AE50" i="2"/>
  <c r="O50" i="2"/>
  <c r="AD50" i="2"/>
  <c r="N50" i="2"/>
  <c r="M50" i="2"/>
  <c r="X50" i="2"/>
  <c r="K50" i="2"/>
  <c r="J50" i="2"/>
  <c r="N56" i="2"/>
  <c r="AD56" i="2"/>
  <c r="O57" i="2"/>
  <c r="AE57" i="2"/>
  <c r="J46" i="2"/>
  <c r="AD46" i="2"/>
  <c r="AH46" i="2"/>
  <c r="N46" i="2"/>
  <c r="AG46" i="2"/>
  <c r="Q46" i="2"/>
  <c r="AJ46" i="2"/>
  <c r="T46" i="2"/>
  <c r="AI46" i="2"/>
  <c r="S46" i="2"/>
  <c r="Z46" i="2"/>
  <c r="AC46" i="2"/>
  <c r="M46" i="2"/>
  <c r="AF46" i="2"/>
  <c r="P46" i="2"/>
  <c r="AE46" i="2"/>
  <c r="O46" i="2"/>
  <c r="AK46" i="2"/>
  <c r="X46" i="2"/>
  <c r="G46" i="2"/>
  <c r="V46" i="2"/>
  <c r="Y46" i="2"/>
  <c r="I46" i="2"/>
  <c r="AB46" i="2"/>
  <c r="L46" i="2"/>
  <c r="AA46" i="2"/>
  <c r="K46" i="2"/>
  <c r="AM46" i="2"/>
  <c r="R46" i="2"/>
  <c r="U46" i="2"/>
  <c r="H46" i="2"/>
  <c r="W46" i="2"/>
  <c r="Z55" i="2"/>
  <c r="X55" i="2"/>
  <c r="H55" i="2"/>
  <c r="AI55" i="2"/>
  <c r="S55" i="2"/>
  <c r="Y55" i="2"/>
  <c r="I55" i="2"/>
  <c r="AM55" i="2"/>
  <c r="AD55" i="2"/>
  <c r="R55" i="2"/>
  <c r="AJ55" i="2"/>
  <c r="T55" i="2"/>
  <c r="AE55" i="2"/>
  <c r="O55" i="2"/>
  <c r="AK55" i="2"/>
  <c r="U55" i="2"/>
  <c r="J55" i="2"/>
  <c r="AB55" i="2"/>
  <c r="G55" i="2"/>
  <c r="M55" i="2"/>
  <c r="N55" i="2"/>
  <c r="V55" i="2"/>
  <c r="AF55" i="2"/>
  <c r="P55" i="2"/>
  <c r="AA55" i="2"/>
  <c r="K55" i="2"/>
  <c r="AG55" i="2"/>
  <c r="Q55" i="2"/>
  <c r="AH55" i="2"/>
  <c r="L55" i="2"/>
  <c r="W55" i="2"/>
  <c r="AC55" i="2"/>
  <c r="W56" i="2"/>
  <c r="H57" i="2"/>
  <c r="AF57" i="2"/>
  <c r="AA47" i="2"/>
  <c r="AH47" i="2"/>
  <c r="R47" i="2"/>
  <c r="AK47" i="2"/>
  <c r="U47" i="2"/>
  <c r="AJ47" i="2"/>
  <c r="T47" i="2"/>
  <c r="AE47" i="2"/>
  <c r="S47" i="2"/>
  <c r="AD47" i="2"/>
  <c r="N47" i="2"/>
  <c r="AG47" i="2"/>
  <c r="Q47" i="2"/>
  <c r="AM47" i="2"/>
  <c r="D13" i="1"/>
  <c r="AF47" i="2"/>
  <c r="P47" i="2"/>
  <c r="G47" i="2"/>
  <c r="Y47" i="2"/>
  <c r="X47" i="2"/>
  <c r="W47" i="2"/>
  <c r="K47" i="2"/>
  <c r="Z47" i="2"/>
  <c r="J47" i="2"/>
  <c r="AC47" i="2"/>
  <c r="M47" i="2"/>
  <c r="AB47" i="2"/>
  <c r="L47" i="2"/>
  <c r="O47" i="2"/>
  <c r="AI47" i="2"/>
  <c r="V47" i="2"/>
  <c r="I47" i="2"/>
  <c r="H47" i="2"/>
  <c r="AC57" i="2"/>
  <c r="S57" i="2"/>
  <c r="D46" i="1"/>
  <c r="D47" i="1"/>
  <c r="D45" i="1"/>
  <c r="D49" i="1"/>
  <c r="D44" i="1"/>
  <c r="D51" i="1"/>
  <c r="D50" i="1"/>
  <c r="D43" i="1"/>
  <c r="D48" i="1"/>
  <c r="B42" i="1"/>
  <c r="C42" i="1"/>
  <c r="E42" i="1"/>
  <c r="D21" i="1"/>
  <c r="D23" i="1"/>
  <c r="F70" i="1"/>
  <c r="F81" i="1"/>
  <c r="F82" i="1"/>
  <c r="D24" i="1"/>
  <c r="F78" i="1"/>
  <c r="D20" i="1"/>
  <c r="F74" i="1"/>
  <c r="D22" i="1"/>
  <c r="F76" i="1"/>
  <c r="F68" i="1"/>
  <c r="F69" i="1"/>
  <c r="F90" i="1"/>
  <c r="F65" i="1"/>
  <c r="F63" i="1"/>
  <c r="F85" i="1"/>
  <c r="F67" i="1"/>
  <c r="F71" i="1"/>
  <c r="F77" i="1"/>
  <c r="F72" i="1"/>
  <c r="F86" i="1"/>
  <c r="F84" i="1"/>
  <c r="F75" i="1"/>
  <c r="F79" i="1"/>
  <c r="F66" i="1"/>
  <c r="F80" i="1"/>
  <c r="F62" i="1"/>
  <c r="D12" i="1"/>
  <c r="D18" i="1"/>
  <c r="D17" i="1"/>
  <c r="F83" i="1"/>
  <c r="F61" i="1"/>
  <c r="F87" i="1"/>
  <c r="F64" i="1"/>
  <c r="F89" i="1"/>
  <c r="F91" i="1"/>
  <c r="D9" i="1"/>
  <c r="F60" i="1"/>
  <c r="F73" i="1"/>
  <c r="F88" i="1"/>
  <c r="D10" i="1"/>
  <c r="D19" i="1"/>
  <c r="C51" i="1"/>
  <c r="E51" i="1"/>
  <c r="C48" i="1"/>
  <c r="E48" i="1"/>
  <c r="C50" i="1"/>
  <c r="E50" i="1"/>
  <c r="C46" i="1"/>
  <c r="E46" i="1"/>
  <c r="C45" i="1"/>
  <c r="E45" i="1"/>
  <c r="C47" i="1"/>
  <c r="E47" i="1"/>
  <c r="C49" i="1"/>
  <c r="E49" i="1"/>
  <c r="C43" i="1"/>
  <c r="E43" i="1"/>
  <c r="C44" i="1"/>
  <c r="E44" i="1"/>
  <c r="AN52" i="2"/>
  <c r="AN57" i="2"/>
  <c r="AN47" i="2"/>
  <c r="AN55" i="2"/>
  <c r="AN46" i="2"/>
  <c r="AN51" i="2"/>
  <c r="AN54" i="2"/>
  <c r="AN49" i="2"/>
  <c r="AN44" i="2"/>
  <c r="AN50" i="2"/>
  <c r="AN56" i="2"/>
  <c r="AN45" i="2"/>
  <c r="AN53" i="2"/>
  <c r="AN42" i="2"/>
  <c r="F29" i="1"/>
  <c r="B29" i="1"/>
  <c r="F35" i="1"/>
  <c r="B35" i="1"/>
  <c r="C35" i="1"/>
  <c r="E35" i="1"/>
  <c r="F34" i="1"/>
  <c r="B34" i="1"/>
  <c r="C34" i="1"/>
  <c r="E34" i="1"/>
  <c r="F31" i="1"/>
  <c r="D31" i="1"/>
  <c r="F32" i="1"/>
  <c r="B32" i="1"/>
  <c r="C32" i="1"/>
  <c r="E32" i="1"/>
  <c r="F30" i="1"/>
  <c r="D30" i="1"/>
  <c r="F38" i="1"/>
  <c r="D38" i="1"/>
  <c r="F37" i="1"/>
  <c r="D37" i="1"/>
  <c r="F33" i="1"/>
  <c r="D33" i="1"/>
  <c r="F36" i="1"/>
  <c r="D36" i="1"/>
  <c r="C29" i="1"/>
  <c r="E29" i="1"/>
  <c r="D35" i="1"/>
  <c r="B31" i="1"/>
  <c r="C31" i="1"/>
  <c r="E31" i="1"/>
  <c r="D34" i="1"/>
  <c r="B37" i="1"/>
  <c r="C37" i="1"/>
  <c r="E37" i="1"/>
  <c r="D32" i="1"/>
  <c r="B38" i="1"/>
  <c r="C38" i="1"/>
  <c r="E38" i="1"/>
  <c r="B36" i="1"/>
  <c r="C36" i="1"/>
  <c r="E36" i="1"/>
  <c r="D29" i="1"/>
  <c r="B30" i="1"/>
  <c r="C30" i="1"/>
  <c r="E30" i="1"/>
  <c r="B33" i="1"/>
  <c r="C33" i="1"/>
  <c r="E33" i="1"/>
</calcChain>
</file>

<file path=xl/sharedStrings.xml><?xml version="1.0" encoding="utf-8"?>
<sst xmlns="http://schemas.openxmlformats.org/spreadsheetml/2006/main" count="1621" uniqueCount="320">
  <si>
    <t>CAMx Category</t>
  </si>
  <si>
    <t>Category Desc</t>
  </si>
  <si>
    <t>natural</t>
  </si>
  <si>
    <t>fires</t>
  </si>
  <si>
    <t>Open Land Fires (wildfire, prescribed, and agricultural burning)</t>
  </si>
  <si>
    <t>onroad</t>
  </si>
  <si>
    <t>On-Road Mobile</t>
  </si>
  <si>
    <t>nonroad</t>
  </si>
  <si>
    <t>Non-Road Mobile</t>
  </si>
  <si>
    <t>oag</t>
  </si>
  <si>
    <t>Oil and Gas (point and non-point)</t>
  </si>
  <si>
    <t>egu</t>
  </si>
  <si>
    <t>Electrical Generating Unit (EGU) Point</t>
  </si>
  <si>
    <t>nonegu</t>
  </si>
  <si>
    <t>Non-EGU Point</t>
  </si>
  <si>
    <t>othanthro</t>
  </si>
  <si>
    <t>Remainder Anthropogenic</t>
  </si>
  <si>
    <t>O3T001001</t>
  </si>
  <si>
    <t>O3T001002</t>
  </si>
  <si>
    <t>O3T001003</t>
  </si>
  <si>
    <t>O3T001004</t>
  </si>
  <si>
    <t>O3T002001</t>
  </si>
  <si>
    <t>O3T002002</t>
  </si>
  <si>
    <t>O3T002003</t>
  </si>
  <si>
    <t>O3T002004</t>
  </si>
  <si>
    <t>O3T003001</t>
  </si>
  <si>
    <t>O3T003002</t>
  </si>
  <si>
    <t>O3T003003</t>
  </si>
  <si>
    <t>O3T003004</t>
  </si>
  <si>
    <t>O3T004001</t>
  </si>
  <si>
    <t>O3T004002</t>
  </si>
  <si>
    <t>O3T004003</t>
  </si>
  <si>
    <t>O3T004004</t>
  </si>
  <si>
    <t>O3T005001</t>
  </si>
  <si>
    <t>O3T005002</t>
  </si>
  <si>
    <t>O3T005003</t>
  </si>
  <si>
    <t>O3T005004</t>
  </si>
  <si>
    <t>O3T006001</t>
  </si>
  <si>
    <t>O3T006002</t>
  </si>
  <si>
    <t>O3T006003</t>
  </si>
  <si>
    <t>O3T006004</t>
  </si>
  <si>
    <t>O3T007001</t>
  </si>
  <si>
    <t>O3T007002</t>
  </si>
  <si>
    <t>O3T007003</t>
  </si>
  <si>
    <t>O3T007004</t>
  </si>
  <si>
    <t>O3T008001</t>
  </si>
  <si>
    <t>O3T008002</t>
  </si>
  <si>
    <t>O3T008003</t>
  </si>
  <si>
    <t>O3T008004</t>
  </si>
  <si>
    <t>Base</t>
  </si>
  <si>
    <t>New Mexico</t>
  </si>
  <si>
    <t>Dona Ana</t>
  </si>
  <si>
    <t>Eddy</t>
  </si>
  <si>
    <t>Grant</t>
  </si>
  <si>
    <t>Luna</t>
  </si>
  <si>
    <t>Texas</t>
  </si>
  <si>
    <t>El Paso</t>
  </si>
  <si>
    <t>Site_ID</t>
  </si>
  <si>
    <t>Lat</t>
  </si>
  <si>
    <t>Lon</t>
  </si>
  <si>
    <t>State</t>
  </si>
  <si>
    <t>City</t>
  </si>
  <si>
    <t>#N/A!</t>
  </si>
  <si>
    <t>City:</t>
  </si>
  <si>
    <t>State:</t>
  </si>
  <si>
    <t>Site Number:</t>
  </si>
  <si>
    <t>Regional Contribution</t>
  </si>
  <si>
    <t>Region 1</t>
  </si>
  <si>
    <t>Region 2</t>
  </si>
  <si>
    <t>Region 3</t>
  </si>
  <si>
    <t>Region 4</t>
  </si>
  <si>
    <t>Region</t>
  </si>
  <si>
    <t>O3T001001_contribution</t>
  </si>
  <si>
    <t>Site ID</t>
  </si>
  <si>
    <t>O3T001002_contribution</t>
  </si>
  <si>
    <t>O3T001003_contribution</t>
  </si>
  <si>
    <t>O3T001004_contribution</t>
  </si>
  <si>
    <t>O3T002001_contribution</t>
  </si>
  <si>
    <t>O3T002002_contribution</t>
  </si>
  <si>
    <t>O3T002003_contribution</t>
  </si>
  <si>
    <t>O3T002004_contribution</t>
  </si>
  <si>
    <t>O3T003001_contribution</t>
  </si>
  <si>
    <t>O3T003002_contribution</t>
  </si>
  <si>
    <t>O3T003003_contribution</t>
  </si>
  <si>
    <t>O3T003004_contribution</t>
  </si>
  <si>
    <t>O3T004001_contribution</t>
  </si>
  <si>
    <t>O3T004002_contribution</t>
  </si>
  <si>
    <t>O3T004003_contribution</t>
  </si>
  <si>
    <t>O3T004004_contribution</t>
  </si>
  <si>
    <t>O3T005001_contribution</t>
  </si>
  <si>
    <t>O3T005002_contribution</t>
  </si>
  <si>
    <t>O3T005003_contribution</t>
  </si>
  <si>
    <t>O3T005004_contribution</t>
  </si>
  <si>
    <t>O3T006001_contribution</t>
  </si>
  <si>
    <t>O3T006002_contribution</t>
  </si>
  <si>
    <t>O3T006003_contribution</t>
  </si>
  <si>
    <t>O3T006004_contribution</t>
  </si>
  <si>
    <t>O3T007001_contribution</t>
  </si>
  <si>
    <t>O3T007002_contribution</t>
  </si>
  <si>
    <t>O3T007003_contribution</t>
  </si>
  <si>
    <t>O3T007004_contribution</t>
  </si>
  <si>
    <t>O3T008001_contribution</t>
  </si>
  <si>
    <t>O3T008002_contribution</t>
  </si>
  <si>
    <t>O3T008003_contribution</t>
  </si>
  <si>
    <t>O3T008004_contribution</t>
  </si>
  <si>
    <t>Category Number</t>
  </si>
  <si>
    <t>Regions</t>
  </si>
  <si>
    <t>Region Desc</t>
  </si>
  <si>
    <t>Region Number</t>
  </si>
  <si>
    <t>Tracers O3T00${Category}00${Region}</t>
  </si>
  <si>
    <t>Sector Contribution</t>
  </si>
  <si>
    <t>Sector</t>
  </si>
  <si>
    <t>Oil and Gas</t>
  </si>
  <si>
    <t>Description</t>
  </si>
  <si>
    <t>Tracer Description</t>
  </si>
  <si>
    <t>Natural Emissions (biogenic and lightning)</t>
  </si>
  <si>
    <t>Non-road Mobile</t>
  </si>
  <si>
    <t>Mexico</t>
  </si>
  <si>
    <t>Tracer Name</t>
  </si>
  <si>
    <t>Individual Tracer Contribution</t>
  </si>
  <si>
    <t>Region Description</t>
  </si>
  <si>
    <t>Sector Description</t>
  </si>
  <si>
    <t>Sector 1</t>
  </si>
  <si>
    <t>Sector 2</t>
  </si>
  <si>
    <t>Sector 3</t>
  </si>
  <si>
    <t>Sector 4</t>
  </si>
  <si>
    <t>Sector 5</t>
  </si>
  <si>
    <t>Sector 6</t>
  </si>
  <si>
    <t>Sector 7</t>
  </si>
  <si>
    <t>Sector 8</t>
  </si>
  <si>
    <t>plots</t>
  </si>
  <si>
    <t>raw_data</t>
  </si>
  <si>
    <t>lookup</t>
  </si>
  <si>
    <t>Vlookup tables</t>
  </si>
  <si>
    <t>readme</t>
  </si>
  <si>
    <t>This very tab you are reading now</t>
  </si>
  <si>
    <t>RRF Setup</t>
  </si>
  <si>
    <t>·         Use top 10 days</t>
  </si>
  <si>
    <t>·         Minimum allowable threshold: 70ppb</t>
  </si>
  <si>
    <t>·         Minimum numbers of days at or above threshold: 1 day</t>
  </si>
  <si>
    <t>Point Estimates:</t>
  </si>
  <si>
    <t>Temporal adjustment at monitor:</t>
  </si>
  <si>
    <t>3x3, Maximum paired in space</t>
  </si>
  <si>
    <t>Ozone Design Values:</t>
  </si>
  <si>
    <t>2009-2011, 2011-2013</t>
  </si>
  <si>
    <t>Temporally adjust ozone levels at monitors</t>
  </si>
  <si>
    <t>Sheet Name</t>
  </si>
  <si>
    <t>Pick site:</t>
  </si>
  <si>
    <t>Full ID</t>
  </si>
  <si>
    <t>Natural</t>
  </si>
  <si>
    <t>Fires</t>
  </si>
  <si>
    <t>Non-EGU</t>
  </si>
  <si>
    <t>EGU</t>
  </si>
  <si>
    <t>Remainder Anthro</t>
  </si>
  <si>
    <t>Other 12km</t>
  </si>
  <si>
    <t>2011 Contribution</t>
  </si>
  <si>
    <t>2011 CountIf Contrubution (for ranking Top 10 only)</t>
  </si>
  <si>
    <t>2011 CountIf Contribution (for ranking Top 10 only)</t>
  </si>
  <si>
    <t>2025 Contribution</t>
  </si>
  <si>
    <t>2025 CountIf Contrubution (for ranking Top 10 only)</t>
  </si>
  <si>
    <t>2025 CountIf Contribution (for ranking Top 10 only)</t>
  </si>
  <si>
    <t>2011 Raw MATS Data</t>
  </si>
  <si>
    <t>2025 Raw MATS Data</t>
  </si>
  <si>
    <t>Dona Ana 4km Summer 2011/2025</t>
  </si>
  <si>
    <t>El Paso, Texas (481410029)</t>
  </si>
  <si>
    <t>BC</t>
  </si>
  <si>
    <t>Boundary Conditions</t>
  </si>
  <si>
    <t>2011 OSAT Calculated Contribution</t>
  </si>
  <si>
    <t>2025 OSAT Calculated Contribution</t>
  </si>
  <si>
    <t>El Paso, Texas (481410044)</t>
  </si>
  <si>
    <t>Grant, New Mexico (350171003)</t>
  </si>
  <si>
    <t>Dona Ana, New Mexico (350130008)</t>
  </si>
  <si>
    <t>Dona Ana, New Mexico (350130017)</t>
  </si>
  <si>
    <t>Dona Ana, New Mexico (350130019)</t>
  </si>
  <si>
    <t>Dona Ana, New Mexico (350130020)</t>
  </si>
  <si>
    <t>Dona Ana, New Mexico (350130021)</t>
  </si>
  <si>
    <t>Dona Ana, New Mexico (350130022)</t>
  </si>
  <si>
    <t>Dona Ana, New Mexico (350130023)</t>
  </si>
  <si>
    <t>Dona Ana, New Mexico (350131012)</t>
  </si>
  <si>
    <t>Eddy, New Mexico (350151005)</t>
  </si>
  <si>
    <t>Luna, New Mexico (350290003)</t>
  </si>
  <si>
    <t>El Paso, Texas (481410037)</t>
  </si>
  <si>
    <t>El Paso, Texas (481410055)</t>
  </si>
  <si>
    <t>El Paso, Texas (481410057)</t>
  </si>
  <si>
    <t>El Paso, Texas (481410058)</t>
  </si>
  <si>
    <t>AQ Sites Analyzed</t>
  </si>
  <si>
    <t>O3BC</t>
  </si>
  <si>
    <t>O3BC_contribution</t>
  </si>
  <si>
    <t>Model Run Time Period:</t>
  </si>
  <si>
    <t>May 1, 2011 - August 30, 2011</t>
  </si>
  <si>
    <t>Time zone:</t>
  </si>
  <si>
    <t>MST-7</t>
  </si>
  <si>
    <t>MATS Configuration Parameters</t>
  </si>
  <si>
    <t>Configuration Description</t>
  </si>
  <si>
    <t>Base &amp; Future Year Files Used:</t>
  </si>
  <si>
    <r>
      <rPr>
        <b/>
        <sz val="11"/>
        <color theme="1"/>
        <rFont val="Calibri"/>
        <family val="2"/>
        <scheme val="minor"/>
      </rPr>
      <t xml:space="preserve">2025 Base Year: </t>
    </r>
    <r>
      <rPr>
        <sz val="11"/>
        <color theme="1"/>
        <rFont val="Calibri"/>
        <family val="2"/>
        <scheme val="minor"/>
      </rPr>
      <t>To generate the column 'Base' for 2025 (see sheet named raw_data, Column F Row 41) we used the future design values for a MATS run where the BY was total ozone for 2011 and FY was total ozone for 2025.</t>
    </r>
  </si>
  <si>
    <r>
      <rPr>
        <b/>
        <sz val="11"/>
        <color theme="1"/>
        <rFont val="Calibri"/>
        <family val="2"/>
        <scheme val="minor"/>
      </rPr>
      <t xml:space="preserve">2011 Base Year: </t>
    </r>
    <r>
      <rPr>
        <sz val="11"/>
        <color theme="1"/>
        <rFont val="Calibri"/>
        <family val="2"/>
        <scheme val="minor"/>
      </rPr>
      <t>To generate the column 'Base' for 2011 (see sheet named raw_data, Column F Row 2) we used the base design values for  a MATS run where the BY was total ozone for 2011 and FY was total ozone for 2025.</t>
    </r>
  </si>
  <si>
    <r>
      <rPr>
        <b/>
        <sz val="11"/>
        <color theme="1"/>
        <rFont val="Calibri"/>
        <family val="2"/>
        <scheme val="minor"/>
      </rPr>
      <t>2025 Tracer Contribution</t>
    </r>
    <r>
      <rPr>
        <sz val="11"/>
        <color theme="1"/>
        <rFont val="Calibri"/>
        <family val="2"/>
        <scheme val="minor"/>
      </rPr>
      <t>: To generate 2025 tracer contributions, the BY input file was the total ozone for 2011 while the FY input file was the total ozone for 2025 minus the contribution of the 2025 tracer</t>
    </r>
  </si>
  <si>
    <r>
      <rPr>
        <b/>
        <sz val="11"/>
        <color theme="1"/>
        <rFont val="Calibri"/>
        <family val="2"/>
        <scheme val="minor"/>
      </rPr>
      <t xml:space="preserve">2011 Tracer Contribution: </t>
    </r>
    <r>
      <rPr>
        <sz val="11"/>
        <color theme="1"/>
        <rFont val="Calibri"/>
        <family val="2"/>
        <scheme val="minor"/>
      </rPr>
      <t>To generate 2011 tracer contributions the BY input file was the total ozone for 2011 while the FY input file was the total ozone for 2011 minus the contribution of the 2011 tracer</t>
    </r>
  </si>
  <si>
    <r>
      <t xml:space="preserve">For the 2011 data: Raw MATS output pasted into F2:AM18. These numbers come from the "future" design value column. Rows 20 through 36 determine the contribution of each tracer by subtracting the indivudal tracer MATS run from the base MATS run. You will see this same process applied to the 2025 data in the 2 tables below the 2011 data. See the </t>
    </r>
    <r>
      <rPr>
        <b/>
        <sz val="11"/>
        <color theme="1"/>
        <rFont val="Calibri"/>
        <family val="2"/>
        <scheme val="minor"/>
      </rPr>
      <t>Base &amp; Future Year Files Used</t>
    </r>
    <r>
      <rPr>
        <sz val="11"/>
        <color theme="1"/>
        <rFont val="Calibri"/>
        <family val="2"/>
        <scheme val="minor"/>
      </rPr>
      <t xml:space="preserve"> below for greater description the data used.</t>
    </r>
  </si>
  <si>
    <t>Base from UNC</t>
  </si>
  <si>
    <t>UNC Base DVF</t>
  </si>
  <si>
    <t>UNC Base DVC</t>
  </si>
  <si>
    <t>Sum</t>
  </si>
  <si>
    <t>2025 OSAT Normalized Contribution</t>
  </si>
  <si>
    <t>Normalization Ratio</t>
  </si>
  <si>
    <t>2011 OSAT Normalized Contribution</t>
  </si>
  <si>
    <t>Normalization Calucaltions</t>
  </si>
  <si>
    <t>Sum (To QA Results)</t>
  </si>
  <si>
    <t>Normalized OSAT Contribution to 2011/2025 Average Forecast Design Value</t>
  </si>
  <si>
    <t>Design Value</t>
  </si>
  <si>
    <t>Plots and tables summarizing tracer contributions to the design value of ozone for 2011 and 2025 normalized by the base DVC and DVF we received from UNC</t>
  </si>
  <si>
    <t>Top 10 Contributing Tracers in 2025</t>
  </si>
  <si>
    <t>Top 10 Contributing Tracers in 2011</t>
  </si>
  <si>
    <t>2011 DV</t>
  </si>
  <si>
    <t>DVC</t>
  </si>
  <si>
    <t>Diff DV</t>
  </si>
  <si>
    <t>RRF NoMex</t>
  </si>
  <si>
    <t>County</t>
  </si>
  <si>
    <t>Site Name</t>
  </si>
  <si>
    <t>LA UNION</t>
  </si>
  <si>
    <t>SUNLAND PARK</t>
  </si>
  <si>
    <t>CHAPARRAL</t>
  </si>
  <si>
    <t>DESERT VIEW</t>
  </si>
  <si>
    <t>SANTA TERESA</t>
  </si>
  <si>
    <t>750 N.SOLANO DRIVE</t>
  </si>
  <si>
    <t>HOLLAND ST;SE OF WATER TANK;CARLSBAD;NM</t>
  </si>
  <si>
    <t>310 AIRPORT ROAD; DEMING; NM 88030</t>
  </si>
  <si>
    <t>DVF</t>
  </si>
  <si>
    <t>Observed</t>
  </si>
  <si>
    <t xml:space="preserve"> Ivanhoe</t>
  </si>
  <si>
    <t>UTEP</t>
  </si>
  <si>
    <t>Chamizal</t>
  </si>
  <si>
    <t>Ascarate Park</t>
  </si>
  <si>
    <t>Socorro Hueco</t>
  </si>
  <si>
    <t xml:space="preserve"> Skyline Park</t>
  </si>
  <si>
    <t>2011 DVC</t>
  </si>
  <si>
    <t>10834 IVANHOE; IVANHOE FIRE STATION</t>
  </si>
  <si>
    <t>RIM RD. NEAR HAWTHORNE NEXT TO UT POLICE</t>
  </si>
  <si>
    <t>800 S. SAN MARCIAL STREET</t>
  </si>
  <si>
    <t>650 R.E. THOMASON LOOP</t>
  </si>
  <si>
    <t>201 S. NEVAREZ RD.</t>
  </si>
  <si>
    <t>5050 A YVETTE DRIVE</t>
  </si>
  <si>
    <t>Dona Ana Average</t>
  </si>
  <si>
    <t>Source Apportionment Results</t>
  </si>
  <si>
    <t>Sensitivity Test Results</t>
  </si>
  <si>
    <r>
      <t>for 4 km Grid Monitors in Do</t>
    </r>
    <r>
      <rPr>
        <sz val="11"/>
        <color theme="1"/>
        <rFont val="Calibri"/>
        <family val="2"/>
      </rPr>
      <t>ñ</t>
    </r>
    <r>
      <rPr>
        <sz val="11"/>
        <color theme="1"/>
        <rFont val="Calibri"/>
        <family val="2"/>
        <scheme val="minor"/>
      </rPr>
      <t>a Ana County</t>
    </r>
  </si>
  <si>
    <t>Contribution of Mexico Emissions to 2011 DVs</t>
  </si>
  <si>
    <t>Average (ppb)</t>
  </si>
  <si>
    <t>Maximum (ppb)</t>
  </si>
  <si>
    <t>Minimum (ppb)</t>
  </si>
  <si>
    <t>Ramboll without Fires Scenario</t>
  </si>
  <si>
    <t>Ramboll without Fires Scenario Normalized to UNC DVFs</t>
  </si>
  <si>
    <t>Year</t>
  </si>
  <si>
    <t>Reference Cell</t>
  </si>
  <si>
    <t>rrf</t>
  </si>
  <si>
    <t>ppb</t>
  </si>
  <si>
    <t>days</t>
  </si>
  <si>
    <t>UNC/Ramboll Base DVF</t>
  </si>
  <si>
    <t>Norm. DVF (w/o fires)</t>
  </si>
  <si>
    <t>Norm. DVF (w/ fires)</t>
  </si>
  <si>
    <t>Norm. DVF Fires Impact</t>
  </si>
  <si>
    <t>Ramboll Base Scenario</t>
  </si>
  <si>
    <t>UNC Base Scenario</t>
  </si>
  <si>
    <t>DVF (without fires)</t>
  </si>
  <si>
    <t>DVF (with fires)</t>
  </si>
  <si>
    <t>Absolute value of fire impact (ppb)</t>
  </si>
  <si>
    <t>Avg |fire impact|</t>
  </si>
  <si>
    <t>Max</t>
  </si>
  <si>
    <t>Min</t>
  </si>
  <si>
    <t>Onroad Mobile</t>
  </si>
  <si>
    <t>HURLEY</t>
  </si>
  <si>
    <t>DEMING</t>
  </si>
  <si>
    <t>SOLANO</t>
  </si>
  <si>
    <t>CARLSBAD</t>
  </si>
  <si>
    <t>2011 OSAT Mexico</t>
  </si>
  <si>
    <t>2025 OSAT Mexico Contribution</t>
  </si>
  <si>
    <t>2011 OSAT New Mexico Contribution</t>
  </si>
  <si>
    <t>2025 OSAT New Mexico Contribution</t>
  </si>
  <si>
    <t>EGU Point</t>
  </si>
  <si>
    <t>NM</t>
  </si>
  <si>
    <t>TX</t>
  </si>
  <si>
    <t>MEX</t>
  </si>
  <si>
    <t>Other</t>
  </si>
  <si>
    <t>Showing top 5 sources becase after 5, contributions were under 1 ppb for Dona Ana monitors with highest DVs</t>
  </si>
  <si>
    <t>Dona Ana Count</t>
  </si>
  <si>
    <t>Natural Emissions</t>
  </si>
  <si>
    <t>Fires WF/RX/Ag</t>
  </si>
  <si>
    <t>New Mexico Count</t>
  </si>
  <si>
    <t>New Mexico Total</t>
  </si>
  <si>
    <t xml:space="preserve">Dona Ana Count </t>
  </si>
  <si>
    <t>Non Dona Ana NM</t>
  </si>
  <si>
    <t>2011 DV - Mexico Anthro</t>
  </si>
  <si>
    <t>2011  Mexico Natural+Fires</t>
  </si>
  <si>
    <t>2011  Mexico Anthro</t>
  </si>
  <si>
    <t>Mexico Anthro Contribution</t>
  </si>
  <si>
    <t xml:space="preserve">2011 DV NoMexAnthro </t>
  </si>
  <si>
    <t>2011 DV NoMexAnthro</t>
  </si>
  <si>
    <t>DV NoMex</t>
  </si>
  <si>
    <t>CHINO BLVD NR HURLEY PARK;HURLEY;NM</t>
  </si>
  <si>
    <t>Sens</t>
  </si>
  <si>
    <t>SA</t>
  </si>
  <si>
    <t>SA-sens</t>
  </si>
  <si>
    <t>Hurley</t>
  </si>
  <si>
    <t>Deming</t>
  </si>
  <si>
    <t>Carlsbad</t>
  </si>
  <si>
    <t>CAMx Source Apportionment</t>
  </si>
  <si>
    <t>CAMx Sensitivity Test</t>
  </si>
  <si>
    <t>2025 Design Values (ppb)</t>
  </si>
  <si>
    <t>Fire Impact on 2025 DVF (ppb)</t>
  </si>
  <si>
    <t>2011 DVC (ppb)</t>
  </si>
  <si>
    <t>Anthro Only</t>
  </si>
  <si>
    <t>Natural+Fires</t>
  </si>
  <si>
    <t>2011 Min Anthro Contribution</t>
  </si>
  <si>
    <t>2011 Max Anthro Contribution</t>
  </si>
  <si>
    <t xml:space="preserve">Dona Ana </t>
  </si>
  <si>
    <t>2025 Max Anthro Contribution</t>
  </si>
  <si>
    <t>2025 Min Anthro Contribution</t>
  </si>
  <si>
    <t>=</t>
  </si>
  <si>
    <t>Decline on onroad mobile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</si>
</sst>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
    <numFmt numFmtId="167" formatCode="0.0000000000000"/>
  </numFmts>
  <fonts count="20" x14ac:knownFonts="1">
    <font>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sz val="14"/>
      <color theme="0" tint="-0.499984740745262"/>
      <name val="Calibri"/>
      <family val="2"/>
      <scheme val="minor"/>
    </font>
    <font>
      <sz val="10"/>
      <color theme="1"/>
      <name val="Calibri"/>
      <family val="2"/>
      <scheme val="minor"/>
    </font>
    <font>
      <sz val="18"/>
      <color theme="1"/>
      <name val="Calibri"/>
      <family val="2"/>
      <scheme val="minor"/>
    </font>
    <font>
      <b/>
      <sz val="18"/>
      <color theme="1"/>
      <name val="Calibri"/>
      <family val="2"/>
      <scheme val="minor"/>
    </font>
    <font>
      <b/>
      <sz val="20"/>
      <color theme="1"/>
      <name val="Calibri"/>
      <family val="2"/>
      <scheme val="minor"/>
    </font>
    <font>
      <b/>
      <sz val="14"/>
      <color theme="1" tint="0.249977111117893"/>
      <name val="Calibri"/>
      <family val="2"/>
      <scheme val="minor"/>
    </font>
    <font>
      <b/>
      <sz val="11"/>
      <color theme="1"/>
      <name val="Calibri"/>
      <family val="2"/>
      <scheme val="minor"/>
    </font>
    <font>
      <sz val="16"/>
      <color theme="1"/>
      <name val="Calibri"/>
      <family val="2"/>
      <scheme val="minor"/>
    </font>
    <font>
      <b/>
      <sz val="11"/>
      <color rgb="FF000000"/>
      <name val="Calibri"/>
      <family val="2"/>
    </font>
    <font>
      <sz val="12"/>
      <color rgb="FF000000"/>
      <name val="Calibri"/>
      <family val="2"/>
    </font>
    <font>
      <sz val="12"/>
      <color rgb="FF000000"/>
      <name val="Calibri"/>
      <family val="2"/>
    </font>
    <font>
      <sz val="11"/>
      <color theme="1"/>
      <name val="Calibri"/>
      <family val="2"/>
    </font>
    <font>
      <sz val="12"/>
      <color theme="1"/>
      <name val="Calibri"/>
      <family val="2"/>
      <scheme val="minor"/>
    </font>
    <font>
      <b/>
      <sz val="12"/>
      <color theme="1"/>
      <name val="Calibri"/>
      <family val="2"/>
      <scheme val="minor"/>
    </font>
    <font>
      <sz val="11"/>
      <color rgb="FF000000"/>
      <name val="Calibri"/>
      <family val="2"/>
    </font>
    <font>
      <b/>
      <sz val="12"/>
      <color rgb="FF000000"/>
      <name val="Calibri"/>
      <family val="2"/>
    </font>
  </fonts>
  <fills count="25">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theme="8"/>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rgb="FFD6D6F5"/>
        <bgColor indexed="64"/>
      </patternFill>
    </fill>
    <fill>
      <patternFill patternType="solid">
        <fgColor rgb="FFFFFFFF"/>
        <bgColor indexed="64"/>
      </patternFill>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tint="-9.9978637043366805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medium">
        <color rgb="FF000000"/>
      </bottom>
      <diagonal/>
    </border>
  </borders>
  <cellStyleXfs count="1">
    <xf numFmtId="0" fontId="0" fillId="0" borderId="0"/>
  </cellStyleXfs>
  <cellXfs count="149">
    <xf numFmtId="0" fontId="0" fillId="0" borderId="0" xfId="0"/>
    <xf numFmtId="0" fontId="0" fillId="0" borderId="1" xfId="0" applyBorder="1"/>
    <xf numFmtId="0" fontId="0" fillId="7" borderId="1" xfId="0" applyFill="1" applyBorder="1"/>
    <xf numFmtId="0" fontId="0" fillId="0" borderId="0" xfId="0" applyBorder="1"/>
    <xf numFmtId="0" fontId="0" fillId="6" borderId="3" xfId="0" applyFill="1" applyBorder="1"/>
    <xf numFmtId="0" fontId="0" fillId="6" borderId="1" xfId="0" applyFill="1" applyBorder="1"/>
    <xf numFmtId="0" fontId="0" fillId="0" borderId="1" xfId="0" applyBorder="1" applyAlignment="1">
      <alignment vertical="center" wrapText="1"/>
    </xf>
    <xf numFmtId="0" fontId="0" fillId="6" borderId="1" xfId="0" applyFill="1" applyBorder="1" applyAlignment="1">
      <alignment vertical="center"/>
    </xf>
    <xf numFmtId="0" fontId="0" fillId="7" borderId="1" xfId="0" applyFill="1" applyBorder="1" applyAlignment="1">
      <alignment vertical="center"/>
    </xf>
    <xf numFmtId="0" fontId="0" fillId="0" borderId="9" xfId="0" applyBorder="1"/>
    <xf numFmtId="0" fontId="0" fillId="0" borderId="10" xfId="0" applyBorder="1"/>
    <xf numFmtId="0" fontId="0" fillId="6" borderId="11" xfId="0" applyFill="1" applyBorder="1"/>
    <xf numFmtId="0" fontId="0" fillId="6" borderId="12" xfId="0" applyFill="1" applyBorder="1"/>
    <xf numFmtId="0" fontId="0" fillId="0" borderId="1" xfId="0" applyFill="1" applyBorder="1"/>
    <xf numFmtId="0" fontId="2" fillId="0" borderId="0" xfId="0" applyFont="1"/>
    <xf numFmtId="0" fontId="0" fillId="0" borderId="13" xfId="0" applyBorder="1"/>
    <xf numFmtId="0" fontId="2" fillId="0" borderId="0" xfId="0" applyFont="1" applyAlignment="1">
      <alignment horizontal="center"/>
    </xf>
    <xf numFmtId="0" fontId="0" fillId="16" borderId="0" xfId="0" applyFill="1"/>
    <xf numFmtId="0" fontId="1" fillId="2" borderId="2" xfId="0" applyFont="1" applyFill="1" applyBorder="1"/>
    <xf numFmtId="0" fontId="3" fillId="3" borderId="3" xfId="0" applyFont="1" applyFill="1" applyBorder="1" applyAlignment="1">
      <alignment horizontal="right"/>
    </xf>
    <xf numFmtId="0" fontId="1" fillId="2" borderId="1" xfId="0" applyFont="1" applyFill="1" applyBorder="1"/>
    <xf numFmtId="0" fontId="3" fillId="3" borderId="1" xfId="0" applyFont="1" applyFill="1" applyBorder="1" applyAlignment="1">
      <alignment horizontal="right"/>
    </xf>
    <xf numFmtId="0" fontId="3" fillId="0" borderId="0" xfId="0" applyFont="1"/>
    <xf numFmtId="0" fontId="3" fillId="15" borderId="4" xfId="0" applyFont="1" applyFill="1" applyBorder="1"/>
    <xf numFmtId="0" fontId="3" fillId="9" borderId="3" xfId="0" applyFont="1" applyFill="1" applyBorder="1"/>
    <xf numFmtId="0" fontId="3" fillId="0" borderId="5" xfId="0" applyFont="1" applyBorder="1"/>
    <xf numFmtId="0" fontId="3" fillId="15" borderId="2" xfId="0" applyFont="1" applyFill="1" applyBorder="1"/>
    <xf numFmtId="0" fontId="3" fillId="9" borderId="1" xfId="0" applyFont="1" applyFill="1" applyBorder="1"/>
    <xf numFmtId="0" fontId="3" fillId="0" borderId="6" xfId="0" applyFont="1" applyBorder="1"/>
    <xf numFmtId="0" fontId="3" fillId="4" borderId="1" xfId="0" applyFont="1" applyFill="1" applyBorder="1"/>
    <xf numFmtId="0" fontId="3" fillId="11" borderId="3" xfId="0" applyFont="1" applyFill="1" applyBorder="1"/>
    <xf numFmtId="0" fontId="3" fillId="0" borderId="3" xfId="0" applyFont="1" applyBorder="1"/>
    <xf numFmtId="0" fontId="3" fillId="11" borderId="1" xfId="0" applyFont="1" applyFill="1" applyBorder="1"/>
    <xf numFmtId="0" fontId="3" fillId="0" borderId="1" xfId="0" applyFont="1" applyBorder="1"/>
    <xf numFmtId="0" fontId="3" fillId="14" borderId="3" xfId="0" applyFont="1" applyFill="1" applyBorder="1"/>
    <xf numFmtId="0" fontId="3" fillId="13" borderId="3" xfId="0" applyFont="1" applyFill="1" applyBorder="1"/>
    <xf numFmtId="0" fontId="4" fillId="0" borderId="3" xfId="0" applyFont="1" applyBorder="1"/>
    <xf numFmtId="0" fontId="3" fillId="13" borderId="1" xfId="0" applyFont="1" applyFill="1" applyBorder="1"/>
    <xf numFmtId="0" fontId="4" fillId="0" borderId="1" xfId="0" applyFont="1" applyBorder="1"/>
    <xf numFmtId="0" fontId="3" fillId="5" borderId="3" xfId="0" applyFont="1" applyFill="1" applyBorder="1"/>
    <xf numFmtId="0" fontId="3" fillId="6" borderId="3" xfId="0" applyFont="1" applyFill="1" applyBorder="1"/>
    <xf numFmtId="0" fontId="3" fillId="5" borderId="1" xfId="0" applyFont="1" applyFill="1" applyBorder="1"/>
    <xf numFmtId="0" fontId="3" fillId="6" borderId="1" xfId="0" applyFont="1" applyFill="1" applyBorder="1"/>
    <xf numFmtId="0" fontId="1" fillId="8"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7" borderId="1" xfId="0" applyFont="1" applyFill="1" applyBorder="1" applyAlignment="1">
      <alignment horizontal="center" vertical="center"/>
    </xf>
    <xf numFmtId="0" fontId="6" fillId="0" borderId="8" xfId="0" applyFont="1" applyBorder="1"/>
    <xf numFmtId="0" fontId="7" fillId="0" borderId="7" xfId="0" applyFont="1" applyBorder="1"/>
    <xf numFmtId="0" fontId="8" fillId="0" borderId="0" xfId="0" applyFont="1" applyAlignment="1">
      <alignment horizontal="center"/>
    </xf>
    <xf numFmtId="0" fontId="7" fillId="0" borderId="0" xfId="0" applyFont="1" applyFill="1" applyBorder="1"/>
    <xf numFmtId="0" fontId="7" fillId="0" borderId="0" xfId="0" applyFont="1"/>
    <xf numFmtId="0" fontId="7" fillId="0" borderId="0" xfId="0" applyFont="1" applyFill="1"/>
    <xf numFmtId="0" fontId="5" fillId="0" borderId="0" xfId="0" applyFont="1"/>
    <xf numFmtId="0" fontId="3" fillId="0" borderId="0" xfId="0" applyFont="1" applyFill="1" applyBorder="1"/>
    <xf numFmtId="0" fontId="9" fillId="6"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0" fillId="7" borderId="1" xfId="0" applyFill="1" applyBorder="1" applyAlignment="1">
      <alignment horizontal="center" vertical="center"/>
    </xf>
    <xf numFmtId="0" fontId="0" fillId="0" borderId="1" xfId="0" applyBorder="1" applyAlignment="1">
      <alignment horizontal="left"/>
    </xf>
    <xf numFmtId="0" fontId="0" fillId="0" borderId="1" xfId="0" applyBorder="1" applyAlignment="1">
      <alignment wrapText="1"/>
    </xf>
    <xf numFmtId="0" fontId="0" fillId="0" borderId="1" xfId="0" applyFill="1" applyBorder="1" applyAlignment="1">
      <alignment horizontal="left" vertical="center" wrapText="1"/>
    </xf>
    <xf numFmtId="0" fontId="0" fillId="17" borderId="12" xfId="0" applyFill="1" applyBorder="1" applyAlignment="1">
      <alignment horizontal="left" vertical="center" wrapText="1"/>
    </xf>
    <xf numFmtId="0" fontId="0" fillId="17" borderId="11" xfId="0" applyFill="1" applyBorder="1" applyAlignment="1">
      <alignment horizontal="left" vertical="center" wrapText="1"/>
    </xf>
    <xf numFmtId="0" fontId="0" fillId="17" borderId="3" xfId="0" applyFill="1" applyBorder="1" applyAlignment="1">
      <alignment horizontal="left" vertical="center" wrapText="1"/>
    </xf>
    <xf numFmtId="0" fontId="3" fillId="6" borderId="11" xfId="0" applyFont="1" applyFill="1" applyBorder="1"/>
    <xf numFmtId="0" fontId="3" fillId="0" borderId="12" xfId="0" applyFont="1" applyBorder="1"/>
    <xf numFmtId="0" fontId="3" fillId="0" borderId="11" xfId="0" applyFont="1" applyBorder="1"/>
    <xf numFmtId="0" fontId="11" fillId="0" borderId="14" xfId="0" applyFont="1" applyBorder="1"/>
    <xf numFmtId="0" fontId="0" fillId="4" borderId="1" xfId="0" applyFill="1" applyBorder="1"/>
    <xf numFmtId="0" fontId="0" fillId="17" borderId="0" xfId="0" applyFill="1"/>
    <xf numFmtId="0" fontId="0" fillId="11" borderId="1" xfId="0" applyFill="1" applyBorder="1"/>
    <xf numFmtId="0" fontId="0" fillId="0" borderId="2" xfId="0" applyBorder="1"/>
    <xf numFmtId="0" fontId="10" fillId="4" borderId="1" xfId="0" applyFont="1" applyFill="1" applyBorder="1"/>
    <xf numFmtId="0" fontId="9" fillId="0" borderId="0" xfId="0" applyFont="1" applyFill="1" applyBorder="1" applyAlignment="1">
      <alignment horizontal="center" vertical="center" wrapText="1"/>
    </xf>
    <xf numFmtId="0" fontId="4" fillId="0" borderId="0" xfId="0" applyFont="1" applyFill="1" applyBorder="1"/>
    <xf numFmtId="164" fontId="10" fillId="0" borderId="0" xfId="0" applyNumberFormat="1" applyFont="1" applyAlignment="1">
      <alignment horizontal="center"/>
    </xf>
    <xf numFmtId="0" fontId="0" fillId="0" borderId="0" xfId="0" applyAlignment="1">
      <alignment vertical="center"/>
    </xf>
    <xf numFmtId="0" fontId="13" fillId="21" borderId="15" xfId="0" applyFont="1" applyFill="1" applyBorder="1" applyAlignment="1">
      <alignment horizontal="center" vertical="center" wrapText="1"/>
    </xf>
    <xf numFmtId="0" fontId="13" fillId="22" borderId="15" xfId="0" applyFont="1" applyFill="1" applyBorder="1" applyAlignment="1">
      <alignment horizontal="center" vertical="center" wrapText="1"/>
    </xf>
    <xf numFmtId="0" fontId="0" fillId="0" borderId="0" xfId="0" applyAlignment="1">
      <alignment horizontal="center"/>
    </xf>
    <xf numFmtId="0" fontId="13" fillId="17" borderId="15"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10" fillId="18" borderId="18" xfId="0" applyFont="1" applyFill="1" applyBorder="1" applyAlignment="1"/>
    <xf numFmtId="0" fontId="10" fillId="18" borderId="19" xfId="0" applyFont="1" applyFill="1" applyBorder="1" applyAlignment="1"/>
    <xf numFmtId="0" fontId="12" fillId="18" borderId="21" xfId="0" applyFont="1" applyFill="1" applyBorder="1" applyAlignment="1">
      <alignment horizontal="center" vertical="center" wrapText="1"/>
    </xf>
    <xf numFmtId="0" fontId="10" fillId="18" borderId="19" xfId="0" applyFont="1" applyFill="1" applyBorder="1" applyAlignment="1">
      <alignment horizontal="center"/>
    </xf>
    <xf numFmtId="0" fontId="12" fillId="18" borderId="20" xfId="0" applyFont="1" applyFill="1" applyBorder="1" applyAlignment="1">
      <alignment horizontal="center" vertical="center" wrapText="1"/>
    </xf>
    <xf numFmtId="0" fontId="13" fillId="23" borderId="15" xfId="0" applyFont="1" applyFill="1" applyBorder="1" applyAlignment="1">
      <alignment horizontal="center" vertical="center" wrapText="1"/>
    </xf>
    <xf numFmtId="0" fontId="14" fillId="20" borderId="15" xfId="0" applyFont="1" applyFill="1" applyBorder="1" applyAlignment="1">
      <alignment horizontal="center" wrapText="1" readingOrder="1"/>
    </xf>
    <xf numFmtId="0" fontId="14" fillId="19" borderId="15" xfId="0" applyFont="1" applyFill="1" applyBorder="1" applyAlignment="1">
      <alignment horizontal="center" wrapText="1" readingOrder="1"/>
    </xf>
    <xf numFmtId="0" fontId="14" fillId="17" borderId="15" xfId="0" applyFont="1" applyFill="1" applyBorder="1" applyAlignment="1">
      <alignment horizontal="center" wrapText="1" readingOrder="1"/>
    </xf>
    <xf numFmtId="0" fontId="14" fillId="23" borderId="15" xfId="0" applyFont="1" applyFill="1" applyBorder="1" applyAlignment="1">
      <alignment horizontal="center" wrapText="1" readingOrder="1"/>
    </xf>
    <xf numFmtId="0" fontId="0" fillId="0" borderId="1" xfId="0" applyBorder="1" applyAlignment="1">
      <alignment horizontal="center"/>
    </xf>
    <xf numFmtId="0" fontId="10" fillId="23" borderId="1" xfId="0" applyFont="1" applyFill="1" applyBorder="1" applyAlignment="1">
      <alignment horizontal="center"/>
    </xf>
    <xf numFmtId="0" fontId="2" fillId="0" borderId="0" xfId="0" applyFont="1" applyFill="1" applyBorder="1"/>
    <xf numFmtId="165" fontId="0" fillId="0" borderId="1" xfId="0" applyNumberFormat="1" applyBorder="1"/>
    <xf numFmtId="0" fontId="0" fillId="0" borderId="1" xfId="0" applyNumberFormat="1" applyBorder="1"/>
    <xf numFmtId="166" fontId="0" fillId="0" borderId="0" xfId="0" applyNumberFormat="1"/>
    <xf numFmtId="0" fontId="16" fillId="0" borderId="15" xfId="0" applyFont="1" applyBorder="1"/>
    <xf numFmtId="0" fontId="16" fillId="23" borderId="16" xfId="0" applyFont="1" applyFill="1" applyBorder="1"/>
    <xf numFmtId="0" fontId="16" fillId="23" borderId="15" xfId="0" applyFont="1" applyFill="1" applyBorder="1"/>
    <xf numFmtId="164" fontId="16" fillId="23" borderId="15" xfId="0" applyNumberFormat="1" applyFont="1" applyFill="1" applyBorder="1" applyAlignment="1">
      <alignment horizontal="center"/>
    </xf>
    <xf numFmtId="164" fontId="16" fillId="0" borderId="15" xfId="0" applyNumberFormat="1" applyFont="1" applyBorder="1" applyAlignment="1">
      <alignment horizontal="center"/>
    </xf>
    <xf numFmtId="164" fontId="16" fillId="22" borderId="15" xfId="0" applyNumberFormat="1" applyFont="1" applyFill="1" applyBorder="1" applyAlignment="1">
      <alignment horizontal="center"/>
    </xf>
    <xf numFmtId="164" fontId="16" fillId="21" borderId="15" xfId="0" applyNumberFormat="1" applyFont="1" applyFill="1" applyBorder="1" applyAlignment="1">
      <alignment horizontal="center"/>
    </xf>
    <xf numFmtId="166" fontId="16" fillId="23" borderId="15" xfId="0" applyNumberFormat="1" applyFont="1" applyFill="1" applyBorder="1" applyAlignment="1">
      <alignment horizontal="center"/>
    </xf>
    <xf numFmtId="166" fontId="16" fillId="0" borderId="15" xfId="0" applyNumberFormat="1" applyFont="1" applyBorder="1" applyAlignment="1">
      <alignment horizontal="center"/>
    </xf>
    <xf numFmtId="0" fontId="17" fillId="18" borderId="30" xfId="0" applyFont="1" applyFill="1" applyBorder="1"/>
    <xf numFmtId="0" fontId="18" fillId="23" borderId="15" xfId="0" applyFont="1" applyFill="1" applyBorder="1" applyAlignment="1">
      <alignment horizontal="center" vertical="center" wrapText="1"/>
    </xf>
    <xf numFmtId="0" fontId="18" fillId="17" borderId="15" xfId="0" applyFont="1" applyFill="1" applyBorder="1" applyAlignment="1">
      <alignment horizontal="center" vertical="center" wrapText="1"/>
    </xf>
    <xf numFmtId="0" fontId="0" fillId="0" borderId="0" xfId="0" applyFont="1"/>
    <xf numFmtId="0" fontId="0" fillId="0" borderId="0" xfId="0" applyFill="1"/>
    <xf numFmtId="0" fontId="0" fillId="0" borderId="18" xfId="0" applyBorder="1" applyAlignment="1">
      <alignment horizontal="center"/>
    </xf>
    <xf numFmtId="0" fontId="0" fillId="0" borderId="19" xfId="0" applyBorder="1" applyAlignment="1">
      <alignment horizontal="center"/>
    </xf>
    <xf numFmtId="0" fontId="0" fillId="0" borderId="14" xfId="0" applyBorder="1"/>
    <xf numFmtId="0" fontId="1" fillId="8" borderId="1" xfId="0" applyFont="1" applyFill="1" applyBorder="1" applyAlignment="1">
      <alignment horizontal="center"/>
    </xf>
    <xf numFmtId="2" fontId="10" fillId="0" borderId="0" xfId="0" applyNumberFormat="1" applyFont="1" applyAlignment="1">
      <alignment horizontal="center"/>
    </xf>
    <xf numFmtId="2" fontId="0" fillId="0" borderId="0" xfId="0" applyNumberFormat="1"/>
    <xf numFmtId="167" fontId="0" fillId="0" borderId="0" xfId="0" applyNumberFormat="1"/>
    <xf numFmtId="0" fontId="14" fillId="21" borderId="15" xfId="0" applyFont="1" applyFill="1" applyBorder="1" applyAlignment="1">
      <alignment horizontal="center" wrapText="1" readingOrder="1"/>
    </xf>
    <xf numFmtId="0" fontId="14" fillId="22" borderId="15" xfId="0" applyFont="1" applyFill="1" applyBorder="1" applyAlignment="1">
      <alignment horizontal="center" wrapText="1" readingOrder="1"/>
    </xf>
    <xf numFmtId="0" fontId="19" fillId="18" borderId="15" xfId="0" applyFont="1" applyFill="1" applyBorder="1" applyAlignment="1">
      <alignment horizontal="center" wrapText="1" readingOrder="1"/>
    </xf>
    <xf numFmtId="164" fontId="0" fillId="0" borderId="1" xfId="0" applyNumberFormat="1" applyBorder="1" applyAlignment="1">
      <alignment horizontal="center"/>
    </xf>
    <xf numFmtId="0" fontId="17" fillId="18" borderId="22" xfId="0" applyFont="1" applyFill="1" applyBorder="1" applyAlignment="1">
      <alignment horizontal="center"/>
    </xf>
    <xf numFmtId="2" fontId="0" fillId="24" borderId="0" xfId="0" applyNumberFormat="1" applyFill="1"/>
    <xf numFmtId="0" fontId="0" fillId="0" borderId="0" xfId="0"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30" xfId="0" applyBorder="1" applyAlignment="1">
      <alignment horizontal="center"/>
    </xf>
    <xf numFmtId="0" fontId="12" fillId="18" borderId="22" xfId="0" applyFont="1" applyFill="1" applyBorder="1" applyAlignment="1">
      <alignment horizontal="center" vertical="center" wrapText="1"/>
    </xf>
    <xf numFmtId="0" fontId="12" fillId="18" borderId="23"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12" fillId="18" borderId="26" xfId="0" applyFont="1" applyFill="1" applyBorder="1" applyAlignment="1">
      <alignment horizontal="center" vertical="center" wrapText="1"/>
    </xf>
    <xf numFmtId="0" fontId="12" fillId="18" borderId="25" xfId="0" applyFont="1" applyFill="1" applyBorder="1" applyAlignment="1">
      <alignment horizontal="center" vertical="center" wrapText="1"/>
    </xf>
    <xf numFmtId="0" fontId="12" fillId="18" borderId="27" xfId="0" applyFont="1" applyFill="1" applyBorder="1" applyAlignment="1">
      <alignment horizontal="center" vertical="center" wrapText="1"/>
    </xf>
    <xf numFmtId="0" fontId="10" fillId="18" borderId="17" xfId="0" applyFont="1" applyFill="1" applyBorder="1" applyAlignment="1">
      <alignment horizontal="center"/>
    </xf>
    <xf numFmtId="0" fontId="10" fillId="18" borderId="18" xfId="0" applyFont="1" applyFill="1" applyBorder="1" applyAlignment="1">
      <alignment horizontal="center"/>
    </xf>
    <xf numFmtId="0" fontId="10" fillId="18" borderId="19" xfId="0" applyFont="1" applyFill="1" applyBorder="1" applyAlignment="1">
      <alignment horizontal="center"/>
    </xf>
    <xf numFmtId="0" fontId="0" fillId="0" borderId="1" xfId="0" applyBorder="1" applyAlignment="1">
      <alignment horizontal="left"/>
    </xf>
    <xf numFmtId="0" fontId="0" fillId="23" borderId="1" xfId="0" applyFill="1" applyBorder="1" applyAlignment="1">
      <alignment horizontal="center"/>
    </xf>
    <xf numFmtId="0" fontId="12" fillId="18" borderId="28" xfId="0" applyFont="1" applyFill="1" applyBorder="1" applyAlignment="1">
      <alignment horizontal="center" vertical="center" wrapText="1"/>
    </xf>
    <xf numFmtId="0" fontId="12" fillId="18" borderId="29" xfId="0" applyFont="1" applyFill="1" applyBorder="1" applyAlignment="1">
      <alignment horizontal="center" vertical="center" wrapText="1"/>
    </xf>
    <xf numFmtId="0" fontId="17" fillId="18" borderId="22" xfId="0" applyFont="1" applyFill="1" applyBorder="1" applyAlignment="1">
      <alignment horizontal="center" vertical="center"/>
    </xf>
    <xf numFmtId="0" fontId="17" fillId="18" borderId="23" xfId="0" applyFont="1" applyFill="1" applyBorder="1" applyAlignment="1">
      <alignment horizontal="center" vertical="center"/>
    </xf>
    <xf numFmtId="0" fontId="17" fillId="18" borderId="22" xfId="0" applyFont="1" applyFill="1" applyBorder="1" applyAlignment="1">
      <alignment horizontal="center" vertical="center" wrapText="1"/>
    </xf>
    <xf numFmtId="0" fontId="17" fillId="18" borderId="31" xfId="0" applyFont="1" applyFill="1" applyBorder="1" applyAlignment="1">
      <alignment horizontal="center" vertical="center" wrapText="1"/>
    </xf>
    <xf numFmtId="0" fontId="17" fillId="18" borderId="17" xfId="0" applyFont="1" applyFill="1" applyBorder="1" applyAlignment="1">
      <alignment horizontal="center"/>
    </xf>
    <xf numFmtId="0" fontId="17" fillId="18" borderId="18" xfId="0" applyFont="1" applyFill="1" applyBorder="1" applyAlignment="1">
      <alignment horizontal="center"/>
    </xf>
    <xf numFmtId="9" fontId="0" fillId="0" borderId="0" xfId="0" applyNumberFormat="1"/>
  </cellXfs>
  <cellStyles count="1">
    <cellStyle name="Normal" xfId="0" builtinId="0"/>
  </cellStyles>
  <dxfs count="0"/>
  <tableStyles count="0" defaultTableStyle="TableStyleMedium2" defaultPivotStyle="PivotStyleMedium9"/>
  <colors>
    <mruColors>
      <color rgb="FFD6D6F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plots!$B$7</c:f>
          <c:strCache>
            <c:ptCount val="1"/>
            <c:pt idx="0">
              <c:v>Regional Contribution</c:v>
            </c:pt>
          </c:strCache>
        </c:strRef>
      </c:tx>
      <c:overlay val="0"/>
    </c:title>
    <c:autoTitleDeleted val="0"/>
    <c:plotArea>
      <c:layout/>
      <c:barChart>
        <c:barDir val="col"/>
        <c:grouping val="clustered"/>
        <c:varyColors val="0"/>
        <c:ser>
          <c:idx val="0"/>
          <c:order val="0"/>
          <c:tx>
            <c:strRef>
              <c:f>plots!$D$8</c:f>
              <c:strCache>
                <c:ptCount val="1"/>
                <c:pt idx="0">
                  <c:v>2011 Contribution</c:v>
                </c:pt>
              </c:strCache>
            </c:strRef>
          </c:tx>
          <c:invertIfNegative val="0"/>
          <c:dLbls>
            <c:numFmt formatCode="#,##0.0" sourceLinked="0"/>
            <c:txPr>
              <a:bodyPr/>
              <a:lstStyle/>
              <a:p>
                <a:pPr>
                  <a:defRPr sz="1200" b="0"/>
                </a:pPr>
                <a:endParaRPr lang="en-US"/>
              </a:p>
            </c:txPr>
            <c:showLegendKey val="0"/>
            <c:showVal val="1"/>
            <c:showCatName val="0"/>
            <c:showSerName val="0"/>
            <c:showPercent val="0"/>
            <c:showBubbleSize val="0"/>
            <c:showLeaderLines val="0"/>
          </c:dLbls>
          <c:cat>
            <c:strRef>
              <c:f>plots!$C$9:$C$12</c:f>
              <c:strCache>
                <c:ptCount val="4"/>
                <c:pt idx="0">
                  <c:v>New Mexico</c:v>
                </c:pt>
                <c:pt idx="1">
                  <c:v>Texas</c:v>
                </c:pt>
                <c:pt idx="2">
                  <c:v>Mexico</c:v>
                </c:pt>
                <c:pt idx="3">
                  <c:v>Other 12km</c:v>
                </c:pt>
              </c:strCache>
            </c:strRef>
          </c:cat>
          <c:val>
            <c:numRef>
              <c:f>plots!$D$9:$D$12</c:f>
              <c:numCache>
                <c:formatCode>General</c:formatCode>
                <c:ptCount val="4"/>
                <c:pt idx="0">
                  <c:v>2.5855021590194629</c:v>
                </c:pt>
                <c:pt idx="1">
                  <c:v>7.8261115282096734</c:v>
                </c:pt>
                <c:pt idx="2">
                  <c:v>5.4804713799916556</c:v>
                </c:pt>
                <c:pt idx="3">
                  <c:v>0.52859778413791025</c:v>
                </c:pt>
              </c:numCache>
            </c:numRef>
          </c:val>
        </c:ser>
        <c:ser>
          <c:idx val="1"/>
          <c:order val="1"/>
          <c:tx>
            <c:strRef>
              <c:f>plots!$E$8</c:f>
              <c:strCache>
                <c:ptCount val="1"/>
                <c:pt idx="0">
                  <c:v>2025 Contribution</c:v>
                </c:pt>
              </c:strCache>
            </c:strRef>
          </c:tx>
          <c:invertIfNegative val="0"/>
          <c:dLbls>
            <c:numFmt formatCode="#,##0.0" sourceLinked="0"/>
            <c:txPr>
              <a:bodyPr/>
              <a:lstStyle/>
              <a:p>
                <a:pPr>
                  <a:defRPr sz="1200" b="0"/>
                </a:pPr>
                <a:endParaRPr lang="en-US"/>
              </a:p>
            </c:txPr>
            <c:showLegendKey val="0"/>
            <c:showVal val="1"/>
            <c:showCatName val="0"/>
            <c:showSerName val="0"/>
            <c:showPercent val="0"/>
            <c:showBubbleSize val="0"/>
            <c:showLeaderLines val="0"/>
          </c:dLbls>
          <c:val>
            <c:numRef>
              <c:f>plots!$E$9:$E$12</c:f>
              <c:numCache>
                <c:formatCode>General</c:formatCode>
                <c:ptCount val="4"/>
                <c:pt idx="0">
                  <c:v>1.7144959343175097</c:v>
                </c:pt>
                <c:pt idx="1">
                  <c:v>5.5545840372621704</c:v>
                </c:pt>
                <c:pt idx="2">
                  <c:v>5.4129517644272624</c:v>
                </c:pt>
                <c:pt idx="3">
                  <c:v>0.33997789531852862</c:v>
                </c:pt>
              </c:numCache>
            </c:numRef>
          </c:val>
        </c:ser>
        <c:dLbls>
          <c:showLegendKey val="0"/>
          <c:showVal val="0"/>
          <c:showCatName val="0"/>
          <c:showSerName val="0"/>
          <c:showPercent val="0"/>
          <c:showBubbleSize val="0"/>
        </c:dLbls>
        <c:gapWidth val="150"/>
        <c:axId val="163277056"/>
        <c:axId val="163279232"/>
      </c:barChart>
      <c:catAx>
        <c:axId val="163277056"/>
        <c:scaling>
          <c:orientation val="minMax"/>
        </c:scaling>
        <c:delete val="0"/>
        <c:axPos val="b"/>
        <c:title>
          <c:tx>
            <c:strRef>
              <c:f>plots!$B$8</c:f>
              <c:strCache>
                <c:ptCount val="1"/>
                <c:pt idx="0">
                  <c:v>Region</c:v>
                </c:pt>
              </c:strCache>
            </c:strRef>
          </c:tx>
          <c:overlay val="0"/>
          <c:txPr>
            <a:bodyPr/>
            <a:lstStyle/>
            <a:p>
              <a:pPr>
                <a:defRPr sz="1600"/>
              </a:pPr>
              <a:endParaRPr lang="en-US"/>
            </a:p>
          </c:txPr>
        </c:title>
        <c:majorTickMark val="out"/>
        <c:minorTickMark val="none"/>
        <c:tickLblPos val="nextTo"/>
        <c:txPr>
          <a:bodyPr/>
          <a:lstStyle/>
          <a:p>
            <a:pPr>
              <a:defRPr sz="1600"/>
            </a:pPr>
            <a:endParaRPr lang="en-US"/>
          </a:p>
        </c:txPr>
        <c:crossAx val="163279232"/>
        <c:crosses val="autoZero"/>
        <c:auto val="1"/>
        <c:lblAlgn val="ctr"/>
        <c:lblOffset val="100"/>
        <c:noMultiLvlLbl val="0"/>
      </c:catAx>
      <c:valAx>
        <c:axId val="163279232"/>
        <c:scaling>
          <c:orientation val="minMax"/>
          <c:max val="10"/>
          <c:min val="0"/>
        </c:scaling>
        <c:delete val="0"/>
        <c:axPos val="l"/>
        <c:majorGridlines/>
        <c:title>
          <c:tx>
            <c:rich>
              <a:bodyPr rot="-5400000" vert="horz"/>
              <a:lstStyle/>
              <a:p>
                <a:pPr>
                  <a:defRPr sz="1600"/>
                </a:pPr>
                <a:r>
                  <a:rPr lang="en-US" sz="1600"/>
                  <a:t>O3 (ppb)</a:t>
                </a:r>
              </a:p>
            </c:rich>
          </c:tx>
          <c:overlay val="0"/>
        </c:title>
        <c:numFmt formatCode="General" sourceLinked="1"/>
        <c:majorTickMark val="out"/>
        <c:minorTickMark val="none"/>
        <c:tickLblPos val="nextTo"/>
        <c:txPr>
          <a:bodyPr/>
          <a:lstStyle/>
          <a:p>
            <a:pPr>
              <a:defRPr sz="1600"/>
            </a:pPr>
            <a:endParaRPr lang="en-US"/>
          </a:p>
        </c:txPr>
        <c:crossAx val="163277056"/>
        <c:crosses val="autoZero"/>
        <c:crossBetween val="between"/>
        <c:majorUnit val="1"/>
        <c:minorUnit val="0.2"/>
      </c:valAx>
    </c:plotArea>
    <c:legend>
      <c:legendPos val="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2025 DV Contributions from NM Anthro Emissions</a:t>
            </a:r>
          </a:p>
        </c:rich>
      </c:tx>
      <c:layout/>
      <c:overlay val="0"/>
    </c:title>
    <c:autoTitleDeleted val="0"/>
    <c:plotArea>
      <c:layout/>
      <c:barChart>
        <c:barDir val="col"/>
        <c:grouping val="clustered"/>
        <c:varyColors val="0"/>
        <c:ser>
          <c:idx val="0"/>
          <c:order val="0"/>
          <c:tx>
            <c:strRef>
              <c:f>All_contrib_summary!$B$96</c:f>
              <c:strCache>
                <c:ptCount val="1"/>
                <c:pt idx="0">
                  <c:v>LA UNION</c:v>
                </c:pt>
              </c:strCache>
            </c:strRef>
          </c:tx>
          <c:invertIfNegative val="0"/>
          <c:cat>
            <c:strRef>
              <c:f>All_contrib_summary!$F$95:$K$95</c:f>
              <c:strCache>
                <c:ptCount val="6"/>
                <c:pt idx="0">
                  <c:v>On-Road Mobile</c:v>
                </c:pt>
                <c:pt idx="1">
                  <c:v>Non-Road Mobile</c:v>
                </c:pt>
                <c:pt idx="2">
                  <c:v>Oil and Gas</c:v>
                </c:pt>
                <c:pt idx="3">
                  <c:v>EGU Point</c:v>
                </c:pt>
                <c:pt idx="4">
                  <c:v>Non-EGU Point</c:v>
                </c:pt>
                <c:pt idx="5">
                  <c:v>Remainder Anthro</c:v>
                </c:pt>
              </c:strCache>
            </c:strRef>
          </c:cat>
          <c:val>
            <c:numRef>
              <c:f>All_contrib_summary!$F$96:$K$96</c:f>
              <c:numCache>
                <c:formatCode>General</c:formatCode>
                <c:ptCount val="6"/>
                <c:pt idx="0">
                  <c:v>0.42131027747497174</c:v>
                </c:pt>
                <c:pt idx="1">
                  <c:v>0.2462905904725218</c:v>
                </c:pt>
                <c:pt idx="2">
                  <c:v>0.27866823016426912</c:v>
                </c:pt>
                <c:pt idx="3">
                  <c:v>3.8893263778324583E-2</c:v>
                </c:pt>
                <c:pt idx="4">
                  <c:v>1.9446631889158728E-2</c:v>
                </c:pt>
                <c:pt idx="5">
                  <c:v>5.8339895667483307E-2</c:v>
                </c:pt>
              </c:numCache>
            </c:numRef>
          </c:val>
        </c:ser>
        <c:ser>
          <c:idx val="1"/>
          <c:order val="1"/>
          <c:tx>
            <c:strRef>
              <c:f>All_contrib_summary!$B$97</c:f>
              <c:strCache>
                <c:ptCount val="1"/>
                <c:pt idx="0">
                  <c:v>SUNLAND PARK</c:v>
                </c:pt>
              </c:strCache>
            </c:strRef>
          </c:tx>
          <c:invertIfNegative val="0"/>
          <c:val>
            <c:numRef>
              <c:f>All_contrib_summary!$F$97:$J$97</c:f>
              <c:numCache>
                <c:formatCode>General</c:formatCode>
                <c:ptCount val="5"/>
                <c:pt idx="0">
                  <c:v>0.4282844925146046</c:v>
                </c:pt>
                <c:pt idx="1">
                  <c:v>0.2543001921095886</c:v>
                </c:pt>
                <c:pt idx="2">
                  <c:v>0.28110562096598601</c:v>
                </c:pt>
                <c:pt idx="3">
                  <c:v>8.694195277019813E-2</c:v>
                </c:pt>
                <c:pt idx="4">
                  <c:v>2.0078972926144915E-2</c:v>
                </c:pt>
              </c:numCache>
            </c:numRef>
          </c:val>
        </c:ser>
        <c:ser>
          <c:idx val="2"/>
          <c:order val="2"/>
          <c:tx>
            <c:strRef>
              <c:f>All_contrib_summary!$B$98</c:f>
              <c:strCache>
                <c:ptCount val="1"/>
                <c:pt idx="0">
                  <c:v>CHAPARRAL</c:v>
                </c:pt>
              </c:strCache>
            </c:strRef>
          </c:tx>
          <c:invertIfNegative val="0"/>
          <c:val>
            <c:numRef>
              <c:f>All_contrib_summary!$F$98:$K$98</c:f>
              <c:numCache>
                <c:formatCode>General</c:formatCode>
                <c:ptCount val="6"/>
                <c:pt idx="0">
                  <c:v>0.50255897225097657</c:v>
                </c:pt>
                <c:pt idx="1">
                  <c:v>0.26487979384268423</c:v>
                </c:pt>
                <c:pt idx="2">
                  <c:v>0.20375368757129173</c:v>
                </c:pt>
                <c:pt idx="3">
                  <c:v>4.0750737514256917E-2</c:v>
                </c:pt>
                <c:pt idx="4">
                  <c:v>2.0375368757128458E-2</c:v>
                </c:pt>
                <c:pt idx="5">
                  <c:v>4.0750737514256917E-2</c:v>
                </c:pt>
              </c:numCache>
            </c:numRef>
          </c:val>
        </c:ser>
        <c:ser>
          <c:idx val="3"/>
          <c:order val="3"/>
          <c:tx>
            <c:strRef>
              <c:f>All_contrib_summary!$B$99</c:f>
              <c:strCache>
                <c:ptCount val="1"/>
                <c:pt idx="0">
                  <c:v>DESERT VIEW</c:v>
                </c:pt>
              </c:strCache>
            </c:strRef>
          </c:tx>
          <c:invertIfNegative val="0"/>
          <c:val>
            <c:numRef>
              <c:f>All_contrib_summary!$F$99:$K$99</c:f>
              <c:numCache>
                <c:formatCode>General</c:formatCode>
                <c:ptCount val="6"/>
                <c:pt idx="0">
                  <c:v>0.4838971308219529</c:v>
                </c:pt>
                <c:pt idx="1">
                  <c:v>0.27752923679494274</c:v>
                </c:pt>
                <c:pt idx="2">
                  <c:v>0.26339719548469182</c:v>
                </c:pt>
                <c:pt idx="3">
                  <c:v>9.2609972841647945E-2</c:v>
                </c:pt>
                <c:pt idx="4">
                  <c:v>2.144863007371537E-2</c:v>
                </c:pt>
                <c:pt idx="5">
                  <c:v>4.9812939937555652E-2</c:v>
                </c:pt>
              </c:numCache>
            </c:numRef>
          </c:val>
        </c:ser>
        <c:ser>
          <c:idx val="4"/>
          <c:order val="4"/>
          <c:tx>
            <c:strRef>
              <c:f>All_contrib_summary!$B$100</c:f>
              <c:strCache>
                <c:ptCount val="1"/>
                <c:pt idx="0">
                  <c:v>SANTA TERESA</c:v>
                </c:pt>
              </c:strCache>
            </c:strRef>
          </c:tx>
          <c:invertIfNegative val="0"/>
          <c:val>
            <c:numRef>
              <c:f>All_contrib_summary!$F$100:$K$100</c:f>
              <c:numCache>
                <c:formatCode>General</c:formatCode>
                <c:ptCount val="6"/>
                <c:pt idx="0">
                  <c:v>0.53137285860898043</c:v>
                </c:pt>
                <c:pt idx="1">
                  <c:v>0.29756880082103193</c:v>
                </c:pt>
                <c:pt idx="2">
                  <c:v>0.27631388647666838</c:v>
                </c:pt>
                <c:pt idx="3">
                  <c:v>9.2071050761822232E-2</c:v>
                </c:pt>
                <c:pt idx="4">
                  <c:v>2.1254914344356356E-2</c:v>
                </c:pt>
                <c:pt idx="5">
                  <c:v>5.6713349648693713E-2</c:v>
                </c:pt>
              </c:numCache>
            </c:numRef>
          </c:val>
        </c:ser>
        <c:ser>
          <c:idx val="5"/>
          <c:order val="5"/>
          <c:tx>
            <c:strRef>
              <c:f>All_contrib_summary!$B$101</c:f>
              <c:strCache>
                <c:ptCount val="1"/>
                <c:pt idx="0">
                  <c:v>SOLANO</c:v>
                </c:pt>
              </c:strCache>
            </c:strRef>
          </c:tx>
          <c:invertIfNegative val="0"/>
          <c:val>
            <c:numRef>
              <c:f>All_contrib_summary!$F$101:$K$101</c:f>
              <c:numCache>
                <c:formatCode>General</c:formatCode>
                <c:ptCount val="6"/>
                <c:pt idx="0">
                  <c:v>1.6005612000864706</c:v>
                </c:pt>
                <c:pt idx="1">
                  <c:v>0.76496014407029156</c:v>
                </c:pt>
                <c:pt idx="2">
                  <c:v>0.28286339705629293</c:v>
                </c:pt>
                <c:pt idx="3">
                  <c:v>0.12859243801181844</c:v>
                </c:pt>
                <c:pt idx="4">
                  <c:v>0.10930856813125735</c:v>
                </c:pt>
                <c:pt idx="5">
                  <c:v>0.15427095904447446</c:v>
                </c:pt>
              </c:numCache>
            </c:numRef>
          </c:val>
        </c:ser>
        <c:ser>
          <c:idx val="6"/>
          <c:order val="6"/>
          <c:tx>
            <c:strRef>
              <c:f>All_contrib_summary!$B$102</c:f>
              <c:strCache>
                <c:ptCount val="1"/>
                <c:pt idx="0">
                  <c:v>CARLSBAD</c:v>
                </c:pt>
              </c:strCache>
            </c:strRef>
          </c:tx>
          <c:invertIfNegative val="0"/>
          <c:val>
            <c:numRef>
              <c:f>All_contrib_summary!$F$102:$K$102</c:f>
              <c:numCache>
                <c:formatCode>General</c:formatCode>
                <c:ptCount val="6"/>
                <c:pt idx="0">
                  <c:v>0.20191878150992221</c:v>
                </c:pt>
                <c:pt idx="1">
                  <c:v>0.1298049309706559</c:v>
                </c:pt>
                <c:pt idx="2">
                  <c:v>2.2932204471484252</c:v>
                </c:pt>
                <c:pt idx="3">
                  <c:v>0.11527914107632044</c:v>
                </c:pt>
                <c:pt idx="4">
                  <c:v>4.3268310323542211E-2</c:v>
                </c:pt>
                <c:pt idx="5">
                  <c:v>3.5953905483137753E-2</c:v>
                </c:pt>
              </c:numCache>
            </c:numRef>
          </c:val>
        </c:ser>
        <c:ser>
          <c:idx val="7"/>
          <c:order val="7"/>
          <c:tx>
            <c:strRef>
              <c:f>All_contrib_summary!$B$103</c:f>
              <c:strCache>
                <c:ptCount val="1"/>
                <c:pt idx="0">
                  <c:v>HURLEY</c:v>
                </c:pt>
              </c:strCache>
            </c:strRef>
          </c:tx>
          <c:invertIfNegative val="0"/>
          <c:val>
            <c:numRef>
              <c:f>All_contrib_summary!$F$103:$K$103</c:f>
              <c:numCache>
                <c:formatCode>General</c:formatCode>
                <c:ptCount val="6"/>
                <c:pt idx="0">
                  <c:v>0.56506194450814629</c:v>
                </c:pt>
                <c:pt idx="1">
                  <c:v>0.41223744322371964</c:v>
                </c:pt>
                <c:pt idx="2">
                  <c:v>0.31240028575812379</c:v>
                </c:pt>
                <c:pt idx="3">
                  <c:v>8.6436883256585093E-2</c:v>
                </c:pt>
                <c:pt idx="4">
                  <c:v>2.6493671909415355E-2</c:v>
                </c:pt>
                <c:pt idx="5">
                  <c:v>3.9791653948895576E-2</c:v>
                </c:pt>
              </c:numCache>
            </c:numRef>
          </c:val>
        </c:ser>
        <c:ser>
          <c:idx val="8"/>
          <c:order val="8"/>
          <c:tx>
            <c:strRef>
              <c:f>All_contrib_summary!$B$104</c:f>
              <c:strCache>
                <c:ptCount val="1"/>
                <c:pt idx="0">
                  <c:v>DEMING</c:v>
                </c:pt>
              </c:strCache>
            </c:strRef>
          </c:tx>
          <c:invertIfNegative val="0"/>
          <c:val>
            <c:numRef>
              <c:f>All_contrib_summary!$F$104:$K$104</c:f>
              <c:numCache>
                <c:formatCode>General</c:formatCode>
                <c:ptCount val="6"/>
                <c:pt idx="0">
                  <c:v>0.79680666986713933</c:v>
                </c:pt>
                <c:pt idx="1">
                  <c:v>0.33141247698944232</c:v>
                </c:pt>
                <c:pt idx="2">
                  <c:v>0.38251577496796646</c:v>
                </c:pt>
                <c:pt idx="3">
                  <c:v>0.11475473249038849</c:v>
                </c:pt>
                <c:pt idx="4">
                  <c:v>3.8150382847335178E-2</c:v>
                </c:pt>
                <c:pt idx="5">
                  <c:v>5.7377366245194246E-2</c:v>
                </c:pt>
              </c:numCache>
            </c:numRef>
          </c:val>
        </c:ser>
        <c:dLbls>
          <c:showLegendKey val="0"/>
          <c:showVal val="0"/>
          <c:showCatName val="0"/>
          <c:showSerName val="0"/>
          <c:showPercent val="0"/>
          <c:showBubbleSize val="0"/>
        </c:dLbls>
        <c:gapWidth val="150"/>
        <c:axId val="208754560"/>
        <c:axId val="208756096"/>
      </c:barChart>
      <c:catAx>
        <c:axId val="208754560"/>
        <c:scaling>
          <c:orientation val="minMax"/>
        </c:scaling>
        <c:delete val="0"/>
        <c:axPos val="b"/>
        <c:majorTickMark val="none"/>
        <c:minorTickMark val="none"/>
        <c:tickLblPos val="nextTo"/>
        <c:crossAx val="208756096"/>
        <c:crosses val="autoZero"/>
        <c:auto val="1"/>
        <c:lblAlgn val="ctr"/>
        <c:lblOffset val="100"/>
        <c:noMultiLvlLbl val="0"/>
      </c:catAx>
      <c:valAx>
        <c:axId val="208756096"/>
        <c:scaling>
          <c:orientation val="minMax"/>
          <c:max val="4.5"/>
        </c:scaling>
        <c:delete val="0"/>
        <c:axPos val="l"/>
        <c:majorGridlines/>
        <c:title>
          <c:tx>
            <c:rich>
              <a:bodyPr/>
              <a:lstStyle/>
              <a:p>
                <a:pPr>
                  <a:defRPr/>
                </a:pPr>
                <a:r>
                  <a:rPr lang="en-US"/>
                  <a:t>Contribution to DV (ppb)</a:t>
                </a:r>
              </a:p>
            </c:rich>
          </c:tx>
          <c:layout/>
          <c:overlay val="0"/>
        </c:title>
        <c:numFmt formatCode="General" sourceLinked="1"/>
        <c:majorTickMark val="out"/>
        <c:minorTickMark val="none"/>
        <c:tickLblPos val="nextTo"/>
        <c:crossAx val="208754560"/>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Frequency</a:t>
            </a:r>
            <a:r>
              <a:rPr lang="en-US" sz="1600" baseline="0"/>
              <a:t> in Top 5 Sources: Non-Dona Ana NM Monitors</a:t>
            </a:r>
            <a:endParaRPr lang="en-US" sz="1600"/>
          </a:p>
        </c:rich>
      </c:tx>
      <c:layout/>
      <c:overlay val="0"/>
    </c:title>
    <c:autoTitleDeleted val="0"/>
    <c:plotArea>
      <c:layout>
        <c:manualLayout>
          <c:layoutTarget val="inner"/>
          <c:xMode val="edge"/>
          <c:yMode val="edge"/>
          <c:x val="4.1067428628159069E-2"/>
          <c:y val="0.16169938671986686"/>
          <c:w val="0.93477085311144614"/>
          <c:h val="0.56376603475361176"/>
        </c:manualLayout>
      </c:layout>
      <c:barChart>
        <c:barDir val="col"/>
        <c:grouping val="clustered"/>
        <c:varyColors val="0"/>
        <c:ser>
          <c:idx val="0"/>
          <c:order val="0"/>
          <c:tx>
            <c:v>2011</c:v>
          </c:tx>
          <c:invertIfNegative val="0"/>
          <c:cat>
            <c:multiLvlStrRef>
              <c:f>'Top Sources Summary'!$C$3:$AD$4</c:f>
              <c:multiLvlStrCache>
                <c:ptCount val="28"/>
                <c:lvl>
                  <c:pt idx="0">
                    <c:v>NM</c:v>
                  </c:pt>
                  <c:pt idx="1">
                    <c:v>TX</c:v>
                  </c:pt>
                  <c:pt idx="2">
                    <c:v>MEX</c:v>
                  </c:pt>
                  <c:pt idx="3">
                    <c:v>Other</c:v>
                  </c:pt>
                  <c:pt idx="4">
                    <c:v>NM</c:v>
                  </c:pt>
                  <c:pt idx="5">
                    <c:v>TX</c:v>
                  </c:pt>
                  <c:pt idx="6">
                    <c:v>MEX</c:v>
                  </c:pt>
                  <c:pt idx="7">
                    <c:v>Other</c:v>
                  </c:pt>
                  <c:pt idx="8">
                    <c:v>NM</c:v>
                  </c:pt>
                  <c:pt idx="9">
                    <c:v>TX</c:v>
                  </c:pt>
                  <c:pt idx="10">
                    <c:v>MEX</c:v>
                  </c:pt>
                  <c:pt idx="11">
                    <c:v>Other</c:v>
                  </c:pt>
                  <c:pt idx="12">
                    <c:v>NM</c:v>
                  </c:pt>
                  <c:pt idx="13">
                    <c:v>TX</c:v>
                  </c:pt>
                  <c:pt idx="14">
                    <c:v>MEX</c:v>
                  </c:pt>
                  <c:pt idx="15">
                    <c:v>Other</c:v>
                  </c:pt>
                  <c:pt idx="16">
                    <c:v>NM</c:v>
                  </c:pt>
                  <c:pt idx="17">
                    <c:v>TX</c:v>
                  </c:pt>
                  <c:pt idx="18">
                    <c:v>MEX</c:v>
                  </c:pt>
                  <c:pt idx="19">
                    <c:v>Other</c:v>
                  </c:pt>
                  <c:pt idx="20">
                    <c:v>NM</c:v>
                  </c:pt>
                  <c:pt idx="21">
                    <c:v>TX</c:v>
                  </c:pt>
                  <c:pt idx="22">
                    <c:v>MEX</c:v>
                  </c:pt>
                  <c:pt idx="23">
                    <c:v>Other</c:v>
                  </c:pt>
                  <c:pt idx="24">
                    <c:v>NM</c:v>
                  </c:pt>
                  <c:pt idx="25">
                    <c:v>TX</c:v>
                  </c:pt>
                  <c:pt idx="26">
                    <c:v>MEX</c:v>
                  </c:pt>
                  <c:pt idx="27">
                    <c:v>Other</c:v>
                  </c:pt>
                </c:lvl>
                <c:lvl>
                  <c:pt idx="0">
                    <c:v>Natural Emissions</c:v>
                  </c:pt>
                  <c:pt idx="4">
                    <c:v>Fires WF/RX/Ag</c:v>
                  </c:pt>
                  <c:pt idx="8">
                    <c:v>On-Road Mobile</c:v>
                  </c:pt>
                  <c:pt idx="12">
                    <c:v>Non-Road Mobile</c:v>
                  </c:pt>
                  <c:pt idx="16">
                    <c:v>Oil and Gas</c:v>
                  </c:pt>
                  <c:pt idx="20">
                    <c:v>EGU Point</c:v>
                  </c:pt>
                  <c:pt idx="24">
                    <c:v>Non-EGU Point</c:v>
                  </c:pt>
                </c:lvl>
              </c:multiLvlStrCache>
            </c:multiLvlStrRef>
          </c:cat>
          <c:val>
            <c:numRef>
              <c:f>'Top Sources Summary'!$C$24:$AD$24</c:f>
              <c:numCache>
                <c:formatCode>General</c:formatCode>
                <c:ptCount val="28"/>
                <c:pt idx="0">
                  <c:v>1</c:v>
                </c:pt>
                <c:pt idx="1">
                  <c:v>0</c:v>
                </c:pt>
                <c:pt idx="2">
                  <c:v>1</c:v>
                </c:pt>
                <c:pt idx="3">
                  <c:v>0</c:v>
                </c:pt>
                <c:pt idx="4">
                  <c:v>0</c:v>
                </c:pt>
                <c:pt idx="5">
                  <c:v>0</c:v>
                </c:pt>
                <c:pt idx="6">
                  <c:v>0</c:v>
                </c:pt>
                <c:pt idx="7">
                  <c:v>1</c:v>
                </c:pt>
                <c:pt idx="8">
                  <c:v>3</c:v>
                </c:pt>
                <c:pt idx="9">
                  <c:v>2</c:v>
                </c:pt>
                <c:pt idx="10">
                  <c:v>0</c:v>
                </c:pt>
                <c:pt idx="11">
                  <c:v>1</c:v>
                </c:pt>
                <c:pt idx="12">
                  <c:v>0</c:v>
                </c:pt>
                <c:pt idx="13">
                  <c:v>0</c:v>
                </c:pt>
                <c:pt idx="14">
                  <c:v>0</c:v>
                </c:pt>
                <c:pt idx="15">
                  <c:v>0</c:v>
                </c:pt>
                <c:pt idx="16">
                  <c:v>1</c:v>
                </c:pt>
                <c:pt idx="17">
                  <c:v>3</c:v>
                </c:pt>
                <c:pt idx="18">
                  <c:v>0</c:v>
                </c:pt>
                <c:pt idx="19">
                  <c:v>0</c:v>
                </c:pt>
                <c:pt idx="20">
                  <c:v>0</c:v>
                </c:pt>
                <c:pt idx="21">
                  <c:v>0</c:v>
                </c:pt>
                <c:pt idx="22">
                  <c:v>2</c:v>
                </c:pt>
                <c:pt idx="23">
                  <c:v>0</c:v>
                </c:pt>
                <c:pt idx="24">
                  <c:v>0</c:v>
                </c:pt>
                <c:pt idx="25">
                  <c:v>0</c:v>
                </c:pt>
                <c:pt idx="26">
                  <c:v>0</c:v>
                </c:pt>
                <c:pt idx="27">
                  <c:v>0</c:v>
                </c:pt>
              </c:numCache>
            </c:numRef>
          </c:val>
        </c:ser>
        <c:ser>
          <c:idx val="1"/>
          <c:order val="1"/>
          <c:tx>
            <c:v>2025</c:v>
          </c:tx>
          <c:invertIfNegative val="0"/>
          <c:val>
            <c:numRef>
              <c:f>'Top Sources Summary'!$C$47:$AD$47</c:f>
              <c:numCache>
                <c:formatCode>General</c:formatCode>
                <c:ptCount val="28"/>
                <c:pt idx="0">
                  <c:v>0</c:v>
                </c:pt>
                <c:pt idx="1">
                  <c:v>2</c:v>
                </c:pt>
                <c:pt idx="2">
                  <c:v>3</c:v>
                </c:pt>
                <c:pt idx="3">
                  <c:v>0</c:v>
                </c:pt>
                <c:pt idx="4">
                  <c:v>0</c:v>
                </c:pt>
                <c:pt idx="5">
                  <c:v>0</c:v>
                </c:pt>
                <c:pt idx="6">
                  <c:v>0</c:v>
                </c:pt>
                <c:pt idx="7">
                  <c:v>1</c:v>
                </c:pt>
                <c:pt idx="8">
                  <c:v>2</c:v>
                </c:pt>
                <c:pt idx="9">
                  <c:v>0</c:v>
                </c:pt>
                <c:pt idx="10">
                  <c:v>0</c:v>
                </c:pt>
                <c:pt idx="11">
                  <c:v>0</c:v>
                </c:pt>
                <c:pt idx="12">
                  <c:v>0</c:v>
                </c:pt>
                <c:pt idx="13">
                  <c:v>0</c:v>
                </c:pt>
                <c:pt idx="14">
                  <c:v>0</c:v>
                </c:pt>
                <c:pt idx="15">
                  <c:v>0</c:v>
                </c:pt>
                <c:pt idx="16">
                  <c:v>1</c:v>
                </c:pt>
                <c:pt idx="17">
                  <c:v>3</c:v>
                </c:pt>
                <c:pt idx="18">
                  <c:v>0</c:v>
                </c:pt>
                <c:pt idx="19">
                  <c:v>0</c:v>
                </c:pt>
                <c:pt idx="20">
                  <c:v>0</c:v>
                </c:pt>
                <c:pt idx="21">
                  <c:v>0</c:v>
                </c:pt>
                <c:pt idx="22">
                  <c:v>3</c:v>
                </c:pt>
                <c:pt idx="23">
                  <c:v>0</c:v>
                </c:pt>
                <c:pt idx="24">
                  <c:v>0</c:v>
                </c:pt>
                <c:pt idx="25">
                  <c:v>0</c:v>
                </c:pt>
                <c:pt idx="26">
                  <c:v>0</c:v>
                </c:pt>
                <c:pt idx="27">
                  <c:v>0</c:v>
                </c:pt>
              </c:numCache>
            </c:numRef>
          </c:val>
        </c:ser>
        <c:dLbls>
          <c:showLegendKey val="0"/>
          <c:showVal val="0"/>
          <c:showCatName val="0"/>
          <c:showSerName val="0"/>
          <c:showPercent val="0"/>
          <c:showBubbleSize val="0"/>
        </c:dLbls>
        <c:gapWidth val="150"/>
        <c:axId val="208786560"/>
        <c:axId val="208788096"/>
      </c:barChart>
      <c:catAx>
        <c:axId val="208786560"/>
        <c:scaling>
          <c:orientation val="minMax"/>
        </c:scaling>
        <c:delete val="0"/>
        <c:axPos val="b"/>
        <c:majorTickMark val="none"/>
        <c:minorTickMark val="none"/>
        <c:tickLblPos val="nextTo"/>
        <c:crossAx val="208788096"/>
        <c:crosses val="autoZero"/>
        <c:auto val="1"/>
        <c:lblAlgn val="ctr"/>
        <c:lblOffset val="100"/>
        <c:noMultiLvlLbl val="0"/>
      </c:catAx>
      <c:valAx>
        <c:axId val="208788096"/>
        <c:scaling>
          <c:orientation val="minMax"/>
          <c:max val="4"/>
        </c:scaling>
        <c:delete val="0"/>
        <c:axPos val="l"/>
        <c:majorGridlines/>
        <c:numFmt formatCode="General" sourceLinked="1"/>
        <c:majorTickMark val="out"/>
        <c:minorTickMark val="none"/>
        <c:tickLblPos val="nextTo"/>
        <c:crossAx val="208786560"/>
        <c:crosses val="autoZero"/>
        <c:crossBetween val="between"/>
        <c:majorUnit val="1"/>
      </c:valAx>
    </c:plotArea>
    <c:legend>
      <c:legendPos val="r"/>
      <c:layout>
        <c:manualLayout>
          <c:xMode val="edge"/>
          <c:yMode val="edge"/>
          <c:x val="0.89506602011627978"/>
          <c:y val="0.23146490103669723"/>
          <c:w val="7.3413097299007843E-2"/>
          <c:h val="0.14755539278520419"/>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Frequency</a:t>
            </a:r>
            <a:r>
              <a:rPr lang="en-US" sz="1600" baseline="0"/>
              <a:t> in Top 5 Sources: Dona Ana County Monitors</a:t>
            </a:r>
            <a:endParaRPr lang="en-US" sz="1600"/>
          </a:p>
        </c:rich>
      </c:tx>
      <c:layout/>
      <c:overlay val="0"/>
    </c:title>
    <c:autoTitleDeleted val="0"/>
    <c:plotArea>
      <c:layout>
        <c:manualLayout>
          <c:layoutTarget val="inner"/>
          <c:xMode val="edge"/>
          <c:yMode val="edge"/>
          <c:x val="4.1067428628159069E-2"/>
          <c:y val="0.16169938671986686"/>
          <c:w val="0.93674090827299072"/>
          <c:h val="0.56376603475361176"/>
        </c:manualLayout>
      </c:layout>
      <c:barChart>
        <c:barDir val="col"/>
        <c:grouping val="clustered"/>
        <c:varyColors val="0"/>
        <c:ser>
          <c:idx val="0"/>
          <c:order val="0"/>
          <c:tx>
            <c:v>2011</c:v>
          </c:tx>
          <c:invertIfNegative val="0"/>
          <c:cat>
            <c:multiLvlStrRef>
              <c:f>'Top Sources Summary'!$C$3:$AD$4</c:f>
              <c:multiLvlStrCache>
                <c:ptCount val="28"/>
                <c:lvl>
                  <c:pt idx="0">
                    <c:v>NM</c:v>
                  </c:pt>
                  <c:pt idx="1">
                    <c:v>TX</c:v>
                  </c:pt>
                  <c:pt idx="2">
                    <c:v>MEX</c:v>
                  </c:pt>
                  <c:pt idx="3">
                    <c:v>Other</c:v>
                  </c:pt>
                  <c:pt idx="4">
                    <c:v>NM</c:v>
                  </c:pt>
                  <c:pt idx="5">
                    <c:v>TX</c:v>
                  </c:pt>
                  <c:pt idx="6">
                    <c:v>MEX</c:v>
                  </c:pt>
                  <c:pt idx="7">
                    <c:v>Other</c:v>
                  </c:pt>
                  <c:pt idx="8">
                    <c:v>NM</c:v>
                  </c:pt>
                  <c:pt idx="9">
                    <c:v>TX</c:v>
                  </c:pt>
                  <c:pt idx="10">
                    <c:v>MEX</c:v>
                  </c:pt>
                  <c:pt idx="11">
                    <c:v>Other</c:v>
                  </c:pt>
                  <c:pt idx="12">
                    <c:v>NM</c:v>
                  </c:pt>
                  <c:pt idx="13">
                    <c:v>TX</c:v>
                  </c:pt>
                  <c:pt idx="14">
                    <c:v>MEX</c:v>
                  </c:pt>
                  <c:pt idx="15">
                    <c:v>Other</c:v>
                  </c:pt>
                  <c:pt idx="16">
                    <c:v>NM</c:v>
                  </c:pt>
                  <c:pt idx="17">
                    <c:v>TX</c:v>
                  </c:pt>
                  <c:pt idx="18">
                    <c:v>MEX</c:v>
                  </c:pt>
                  <c:pt idx="19">
                    <c:v>Other</c:v>
                  </c:pt>
                  <c:pt idx="20">
                    <c:v>NM</c:v>
                  </c:pt>
                  <c:pt idx="21">
                    <c:v>TX</c:v>
                  </c:pt>
                  <c:pt idx="22">
                    <c:v>MEX</c:v>
                  </c:pt>
                  <c:pt idx="23">
                    <c:v>Other</c:v>
                  </c:pt>
                  <c:pt idx="24">
                    <c:v>NM</c:v>
                  </c:pt>
                  <c:pt idx="25">
                    <c:v>TX</c:v>
                  </c:pt>
                  <c:pt idx="26">
                    <c:v>MEX</c:v>
                  </c:pt>
                  <c:pt idx="27">
                    <c:v>Other</c:v>
                  </c:pt>
                </c:lvl>
                <c:lvl>
                  <c:pt idx="0">
                    <c:v>Natural Emissions</c:v>
                  </c:pt>
                  <c:pt idx="4">
                    <c:v>Fires WF/RX/Ag</c:v>
                  </c:pt>
                  <c:pt idx="8">
                    <c:v>On-Road Mobile</c:v>
                  </c:pt>
                  <c:pt idx="12">
                    <c:v>Non-Road Mobile</c:v>
                  </c:pt>
                  <c:pt idx="16">
                    <c:v>Oil and Gas</c:v>
                  </c:pt>
                  <c:pt idx="20">
                    <c:v>EGU Point</c:v>
                  </c:pt>
                  <c:pt idx="24">
                    <c:v>Non-EGU Point</c:v>
                  </c:pt>
                </c:lvl>
              </c:multiLvlStrCache>
            </c:multiLvlStrRef>
          </c:cat>
          <c:val>
            <c:numRef>
              <c:f>'Top Sources Summary'!$C$23:$AD$23</c:f>
              <c:numCache>
                <c:formatCode>General</c:formatCode>
                <c:ptCount val="28"/>
                <c:pt idx="0">
                  <c:v>0</c:v>
                </c:pt>
                <c:pt idx="1">
                  <c:v>0</c:v>
                </c:pt>
                <c:pt idx="2">
                  <c:v>5</c:v>
                </c:pt>
                <c:pt idx="3">
                  <c:v>0</c:v>
                </c:pt>
                <c:pt idx="4">
                  <c:v>0</c:v>
                </c:pt>
                <c:pt idx="5">
                  <c:v>0</c:v>
                </c:pt>
                <c:pt idx="6">
                  <c:v>0</c:v>
                </c:pt>
                <c:pt idx="7">
                  <c:v>0</c:v>
                </c:pt>
                <c:pt idx="8">
                  <c:v>5</c:v>
                </c:pt>
                <c:pt idx="9">
                  <c:v>6</c:v>
                </c:pt>
                <c:pt idx="10">
                  <c:v>5</c:v>
                </c:pt>
                <c:pt idx="11">
                  <c:v>0</c:v>
                </c:pt>
                <c:pt idx="12">
                  <c:v>1</c:v>
                </c:pt>
                <c:pt idx="13">
                  <c:v>0</c:v>
                </c:pt>
                <c:pt idx="14">
                  <c:v>0</c:v>
                </c:pt>
                <c:pt idx="15">
                  <c:v>0</c:v>
                </c:pt>
                <c:pt idx="16">
                  <c:v>0</c:v>
                </c:pt>
                <c:pt idx="17">
                  <c:v>1</c:v>
                </c:pt>
                <c:pt idx="18">
                  <c:v>0</c:v>
                </c:pt>
                <c:pt idx="19">
                  <c:v>0</c:v>
                </c:pt>
                <c:pt idx="20">
                  <c:v>0</c:v>
                </c:pt>
                <c:pt idx="21">
                  <c:v>1</c:v>
                </c:pt>
                <c:pt idx="22">
                  <c:v>5</c:v>
                </c:pt>
                <c:pt idx="23">
                  <c:v>0</c:v>
                </c:pt>
                <c:pt idx="24">
                  <c:v>0</c:v>
                </c:pt>
                <c:pt idx="25">
                  <c:v>0</c:v>
                </c:pt>
                <c:pt idx="26">
                  <c:v>1</c:v>
                </c:pt>
                <c:pt idx="27">
                  <c:v>0</c:v>
                </c:pt>
              </c:numCache>
            </c:numRef>
          </c:val>
        </c:ser>
        <c:ser>
          <c:idx val="1"/>
          <c:order val="1"/>
          <c:tx>
            <c:v>2025</c:v>
          </c:tx>
          <c:invertIfNegative val="0"/>
          <c:val>
            <c:numRef>
              <c:f>'Top Sources Summary'!$C$46:$AD$46</c:f>
              <c:numCache>
                <c:formatCode>General</c:formatCode>
                <c:ptCount val="28"/>
                <c:pt idx="0">
                  <c:v>0</c:v>
                </c:pt>
                <c:pt idx="1">
                  <c:v>0</c:v>
                </c:pt>
                <c:pt idx="2">
                  <c:v>6</c:v>
                </c:pt>
                <c:pt idx="3">
                  <c:v>0</c:v>
                </c:pt>
                <c:pt idx="4">
                  <c:v>0</c:v>
                </c:pt>
                <c:pt idx="5">
                  <c:v>0</c:v>
                </c:pt>
                <c:pt idx="6">
                  <c:v>0</c:v>
                </c:pt>
                <c:pt idx="7">
                  <c:v>0</c:v>
                </c:pt>
                <c:pt idx="8">
                  <c:v>1</c:v>
                </c:pt>
                <c:pt idx="9">
                  <c:v>5</c:v>
                </c:pt>
                <c:pt idx="10">
                  <c:v>5</c:v>
                </c:pt>
                <c:pt idx="11">
                  <c:v>0</c:v>
                </c:pt>
                <c:pt idx="12">
                  <c:v>1</c:v>
                </c:pt>
                <c:pt idx="13">
                  <c:v>0</c:v>
                </c:pt>
                <c:pt idx="14">
                  <c:v>1</c:v>
                </c:pt>
                <c:pt idx="15">
                  <c:v>0</c:v>
                </c:pt>
                <c:pt idx="16">
                  <c:v>0</c:v>
                </c:pt>
                <c:pt idx="17">
                  <c:v>2</c:v>
                </c:pt>
                <c:pt idx="18">
                  <c:v>0</c:v>
                </c:pt>
                <c:pt idx="19">
                  <c:v>0</c:v>
                </c:pt>
                <c:pt idx="20">
                  <c:v>0</c:v>
                </c:pt>
                <c:pt idx="21">
                  <c:v>0</c:v>
                </c:pt>
                <c:pt idx="22">
                  <c:v>5</c:v>
                </c:pt>
                <c:pt idx="23">
                  <c:v>0</c:v>
                </c:pt>
                <c:pt idx="24">
                  <c:v>0</c:v>
                </c:pt>
                <c:pt idx="25">
                  <c:v>0</c:v>
                </c:pt>
                <c:pt idx="26">
                  <c:v>4</c:v>
                </c:pt>
                <c:pt idx="27">
                  <c:v>0</c:v>
                </c:pt>
              </c:numCache>
            </c:numRef>
          </c:val>
        </c:ser>
        <c:dLbls>
          <c:showLegendKey val="0"/>
          <c:showVal val="0"/>
          <c:showCatName val="0"/>
          <c:showSerName val="0"/>
          <c:showPercent val="0"/>
          <c:showBubbleSize val="0"/>
        </c:dLbls>
        <c:gapWidth val="150"/>
        <c:axId val="208306176"/>
        <c:axId val="208307712"/>
      </c:barChart>
      <c:catAx>
        <c:axId val="208306176"/>
        <c:scaling>
          <c:orientation val="minMax"/>
        </c:scaling>
        <c:delete val="0"/>
        <c:axPos val="b"/>
        <c:majorTickMark val="none"/>
        <c:minorTickMark val="none"/>
        <c:tickLblPos val="nextTo"/>
        <c:crossAx val="208307712"/>
        <c:crosses val="autoZero"/>
        <c:auto val="1"/>
        <c:lblAlgn val="ctr"/>
        <c:lblOffset val="100"/>
        <c:noMultiLvlLbl val="0"/>
      </c:catAx>
      <c:valAx>
        <c:axId val="208307712"/>
        <c:scaling>
          <c:orientation val="minMax"/>
        </c:scaling>
        <c:delete val="0"/>
        <c:axPos val="l"/>
        <c:majorGridlines/>
        <c:numFmt formatCode="General" sourceLinked="1"/>
        <c:majorTickMark val="out"/>
        <c:minorTickMark val="none"/>
        <c:tickLblPos val="nextTo"/>
        <c:crossAx val="208306176"/>
        <c:crosses val="autoZero"/>
        <c:crossBetween val="between"/>
      </c:valAx>
    </c:plotArea>
    <c:legend>
      <c:legendPos val="r"/>
      <c:layout>
        <c:manualLayout>
          <c:xMode val="edge"/>
          <c:yMode val="edge"/>
          <c:x val="0.88718579947010168"/>
          <c:y val="0.17842532535330269"/>
          <c:w val="7.3413097299007843E-2"/>
          <c:h val="0.14755539278520419"/>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Contribution to DV from MEX Anthro Emissions (SA -Sens Test)</a:t>
            </a:r>
          </a:p>
        </c:rich>
      </c:tx>
      <c:layout/>
      <c:overlay val="0"/>
    </c:title>
    <c:autoTitleDeleted val="0"/>
    <c:plotArea>
      <c:layout/>
      <c:barChart>
        <c:barDir val="col"/>
        <c:grouping val="clustered"/>
        <c:varyColors val="0"/>
        <c:ser>
          <c:idx val="0"/>
          <c:order val="0"/>
          <c:invertIfNegative val="0"/>
          <c:cat>
            <c:strRef>
              <c:f>Mexico_Contribution!$K$5:$K$19</c:f>
              <c:strCache>
                <c:ptCount val="15"/>
                <c:pt idx="0">
                  <c:v>LA UNION</c:v>
                </c:pt>
                <c:pt idx="1">
                  <c:v>SUNLAND PARK</c:v>
                </c:pt>
                <c:pt idx="2">
                  <c:v>CHAPARRAL</c:v>
                </c:pt>
                <c:pt idx="3">
                  <c:v>DESERT VIEW</c:v>
                </c:pt>
                <c:pt idx="4">
                  <c:v>SANTA TERESA</c:v>
                </c:pt>
                <c:pt idx="5">
                  <c:v>750 N.SOLANO DRIVE</c:v>
                </c:pt>
                <c:pt idx="6">
                  <c:v>CARLSBAD</c:v>
                </c:pt>
                <c:pt idx="7">
                  <c:v>HURLEY</c:v>
                </c:pt>
                <c:pt idx="8">
                  <c:v>DEMING</c:v>
                </c:pt>
                <c:pt idx="9">
                  <c:v> Ivanhoe</c:v>
                </c:pt>
                <c:pt idx="10">
                  <c:v>UTEP</c:v>
                </c:pt>
                <c:pt idx="11">
                  <c:v>Chamizal</c:v>
                </c:pt>
                <c:pt idx="12">
                  <c:v>Ascarate Park</c:v>
                </c:pt>
                <c:pt idx="13">
                  <c:v>Socorro Hueco</c:v>
                </c:pt>
                <c:pt idx="14">
                  <c:v> Skyline Park</c:v>
                </c:pt>
              </c:strCache>
            </c:strRef>
          </c:cat>
          <c:val>
            <c:numRef>
              <c:f>Mexico_Contribution!$N$5:$N$19</c:f>
              <c:numCache>
                <c:formatCode>General</c:formatCode>
                <c:ptCount val="15"/>
                <c:pt idx="0">
                  <c:v>0.20000000000000462</c:v>
                </c:pt>
                <c:pt idx="1">
                  <c:v>4.4408920985006262E-15</c:v>
                </c:pt>
                <c:pt idx="2">
                  <c:v>-9.9999999999996092E-2</c:v>
                </c:pt>
                <c:pt idx="3">
                  <c:v>2.6645352591003757E-15</c:v>
                </c:pt>
                <c:pt idx="4">
                  <c:v>-0.50000000000000533</c:v>
                </c:pt>
                <c:pt idx="5">
                  <c:v>-1.2000000000000002</c:v>
                </c:pt>
                <c:pt idx="6">
                  <c:v>-3.0000000000000053</c:v>
                </c:pt>
                <c:pt idx="7">
                  <c:v>-1.5000000000000027</c:v>
                </c:pt>
                <c:pt idx="8">
                  <c:v>-1.9000000000000012</c:v>
                </c:pt>
                <c:pt idx="9">
                  <c:v>0.20000000000000284</c:v>
                </c:pt>
                <c:pt idx="10">
                  <c:v>0.29999999999999716</c:v>
                </c:pt>
                <c:pt idx="11">
                  <c:v>0.49999999999999822</c:v>
                </c:pt>
                <c:pt idx="12">
                  <c:v>0.49999999999999822</c:v>
                </c:pt>
                <c:pt idx="13">
                  <c:v>0.40000000000000302</c:v>
                </c:pt>
                <c:pt idx="14">
                  <c:v>0.3999999999999968</c:v>
                </c:pt>
              </c:numCache>
            </c:numRef>
          </c:val>
        </c:ser>
        <c:dLbls>
          <c:showLegendKey val="0"/>
          <c:showVal val="0"/>
          <c:showCatName val="0"/>
          <c:showSerName val="0"/>
          <c:showPercent val="0"/>
          <c:showBubbleSize val="0"/>
        </c:dLbls>
        <c:gapWidth val="150"/>
        <c:axId val="208381824"/>
        <c:axId val="208383360"/>
      </c:barChart>
      <c:catAx>
        <c:axId val="208381824"/>
        <c:scaling>
          <c:orientation val="minMax"/>
        </c:scaling>
        <c:delete val="0"/>
        <c:axPos val="b"/>
        <c:majorTickMark val="none"/>
        <c:minorTickMark val="none"/>
        <c:tickLblPos val="nextTo"/>
        <c:crossAx val="208383360"/>
        <c:crosses val="autoZero"/>
        <c:auto val="1"/>
        <c:lblAlgn val="ctr"/>
        <c:lblOffset val="100"/>
        <c:noMultiLvlLbl val="0"/>
      </c:catAx>
      <c:valAx>
        <c:axId val="208383360"/>
        <c:scaling>
          <c:orientation val="minMax"/>
        </c:scaling>
        <c:delete val="0"/>
        <c:axPos val="l"/>
        <c:majorGridlines/>
        <c:title>
          <c:tx>
            <c:rich>
              <a:bodyPr/>
              <a:lstStyle/>
              <a:p>
                <a:pPr>
                  <a:defRPr/>
                </a:pPr>
                <a:r>
                  <a:rPr lang="en-US"/>
                  <a:t>DV Difference (ppb)</a:t>
                </a:r>
              </a:p>
            </c:rich>
          </c:tx>
          <c:layout/>
          <c:overlay val="0"/>
        </c:title>
        <c:numFmt formatCode="General" sourceLinked="1"/>
        <c:majorTickMark val="out"/>
        <c:minorTickMark val="none"/>
        <c:tickLblPos val="nextTo"/>
        <c:crossAx val="2083818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'Zac 4 km'!$I$5:$I$19</c:f>
              <c:strCache>
                <c:ptCount val="15"/>
                <c:pt idx="0">
                  <c:v>LA UNION</c:v>
                </c:pt>
                <c:pt idx="1">
                  <c:v>SUNLAND PARK</c:v>
                </c:pt>
                <c:pt idx="2">
                  <c:v>CHAPARRAL</c:v>
                </c:pt>
                <c:pt idx="3">
                  <c:v>DESERT VIEW</c:v>
                </c:pt>
                <c:pt idx="4">
                  <c:v>SANTA TERESA</c:v>
                </c:pt>
                <c:pt idx="5">
                  <c:v>SOLANO</c:v>
                </c:pt>
                <c:pt idx="6">
                  <c:v>Carlsbad</c:v>
                </c:pt>
                <c:pt idx="7">
                  <c:v>Hurley</c:v>
                </c:pt>
                <c:pt idx="8">
                  <c:v>Deming</c:v>
                </c:pt>
                <c:pt idx="9">
                  <c:v> Ivanhoe</c:v>
                </c:pt>
                <c:pt idx="10">
                  <c:v>UTEP</c:v>
                </c:pt>
                <c:pt idx="11">
                  <c:v>Chamizal</c:v>
                </c:pt>
                <c:pt idx="12">
                  <c:v>Ascarate Park</c:v>
                </c:pt>
                <c:pt idx="13">
                  <c:v>Socorro Hueco</c:v>
                </c:pt>
                <c:pt idx="14">
                  <c:v> Skyline Park</c:v>
                </c:pt>
              </c:strCache>
            </c:strRef>
          </c:cat>
          <c:val>
            <c:numRef>
              <c:f>'Zac 4 km'!$G$5:$G$19</c:f>
              <c:numCache>
                <c:formatCode>General</c:formatCode>
                <c:ptCount val="15"/>
                <c:pt idx="0">
                  <c:v>0.20000000000000284</c:v>
                </c:pt>
                <c:pt idx="1">
                  <c:v>0</c:v>
                </c:pt>
                <c:pt idx="2">
                  <c:v>-0.10000000000000142</c:v>
                </c:pt>
                <c:pt idx="3">
                  <c:v>0</c:v>
                </c:pt>
                <c:pt idx="4">
                  <c:v>-0.5</c:v>
                </c:pt>
                <c:pt idx="5">
                  <c:v>-1.1999999999999957</c:v>
                </c:pt>
                <c:pt idx="6">
                  <c:v>-3</c:v>
                </c:pt>
                <c:pt idx="7">
                  <c:v>-1.5</c:v>
                </c:pt>
                <c:pt idx="8">
                  <c:v>-1.8999999999999986</c:v>
                </c:pt>
                <c:pt idx="9">
                  <c:v>0.20000000000000284</c:v>
                </c:pt>
                <c:pt idx="10">
                  <c:v>0.29999999999999716</c:v>
                </c:pt>
                <c:pt idx="11">
                  <c:v>0.5</c:v>
                </c:pt>
                <c:pt idx="12">
                  <c:v>0.5</c:v>
                </c:pt>
                <c:pt idx="13">
                  <c:v>0.40000000000000568</c:v>
                </c:pt>
                <c:pt idx="14">
                  <c:v>0.40000000000000568</c:v>
                </c:pt>
              </c:numCache>
            </c:numRef>
          </c:val>
        </c:ser>
        <c:dLbls>
          <c:showLegendKey val="0"/>
          <c:showVal val="0"/>
          <c:showCatName val="0"/>
          <c:showSerName val="0"/>
          <c:showPercent val="0"/>
          <c:showBubbleSize val="0"/>
        </c:dLbls>
        <c:gapWidth val="150"/>
        <c:axId val="7831936"/>
        <c:axId val="7833472"/>
      </c:barChart>
      <c:catAx>
        <c:axId val="7831936"/>
        <c:scaling>
          <c:orientation val="minMax"/>
        </c:scaling>
        <c:delete val="0"/>
        <c:axPos val="b"/>
        <c:majorTickMark val="out"/>
        <c:minorTickMark val="none"/>
        <c:tickLblPos val="nextTo"/>
        <c:crossAx val="7833472"/>
        <c:crosses val="autoZero"/>
        <c:auto val="1"/>
        <c:lblAlgn val="ctr"/>
        <c:lblOffset val="100"/>
        <c:noMultiLvlLbl val="0"/>
      </c:catAx>
      <c:valAx>
        <c:axId val="7833472"/>
        <c:scaling>
          <c:orientation val="minMax"/>
        </c:scaling>
        <c:delete val="0"/>
        <c:axPos val="l"/>
        <c:majorGridlines/>
        <c:numFmt formatCode="General" sourceLinked="1"/>
        <c:majorTickMark val="out"/>
        <c:minorTickMark val="none"/>
        <c:tickLblPos val="nextTo"/>
        <c:crossAx val="78319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plots!$B$15</c:f>
          <c:strCache>
            <c:ptCount val="1"/>
            <c:pt idx="0">
              <c:v>Sector Contribution</c:v>
            </c:pt>
          </c:strCache>
        </c:strRef>
      </c:tx>
      <c:overlay val="0"/>
    </c:title>
    <c:autoTitleDeleted val="0"/>
    <c:plotArea>
      <c:layout/>
      <c:barChart>
        <c:barDir val="col"/>
        <c:grouping val="clustered"/>
        <c:varyColors val="0"/>
        <c:ser>
          <c:idx val="0"/>
          <c:order val="0"/>
          <c:tx>
            <c:strRef>
              <c:f>plots!$D$16</c:f>
              <c:strCache>
                <c:ptCount val="1"/>
                <c:pt idx="0">
                  <c:v>2011 Contribution</c:v>
                </c:pt>
              </c:strCache>
            </c:strRef>
          </c:tx>
          <c:invertIfNegative val="0"/>
          <c:cat>
            <c:strRef>
              <c:f>plots!$C$17:$C$24</c:f>
              <c:strCache>
                <c:ptCount val="8"/>
                <c:pt idx="0">
                  <c:v>Natural</c:v>
                </c:pt>
                <c:pt idx="1">
                  <c:v>Fires</c:v>
                </c:pt>
                <c:pt idx="2">
                  <c:v>On-Road Mobile</c:v>
                </c:pt>
                <c:pt idx="3">
                  <c:v>Non-road Mobile</c:v>
                </c:pt>
                <c:pt idx="4">
                  <c:v>Oil and Gas</c:v>
                </c:pt>
                <c:pt idx="5">
                  <c:v>EGU</c:v>
                </c:pt>
                <c:pt idx="6">
                  <c:v>Non-EGU</c:v>
                </c:pt>
                <c:pt idx="7">
                  <c:v>Remainder Anthro</c:v>
                </c:pt>
              </c:strCache>
            </c:strRef>
          </c:cat>
          <c:val>
            <c:numRef>
              <c:f>plots!$D$17:$D$24</c:f>
              <c:numCache>
                <c:formatCode>General</c:formatCode>
                <c:ptCount val="8"/>
                <c:pt idx="0">
                  <c:v>2.2894553515333618</c:v>
                </c:pt>
                <c:pt idx="1">
                  <c:v>0.11988092982435297</c:v>
                </c:pt>
                <c:pt idx="2">
                  <c:v>7.2201970541599714</c:v>
                </c:pt>
                <c:pt idx="3">
                  <c:v>1.9019705415997508</c:v>
                </c:pt>
                <c:pt idx="4">
                  <c:v>1.4512903542900231</c:v>
                </c:pt>
                <c:pt idx="5">
                  <c:v>2.211938359316092</c:v>
                </c:pt>
                <c:pt idx="6">
                  <c:v>0.83836529954880212</c:v>
                </c:pt>
                <c:pt idx="7">
                  <c:v>0.38758496108634971</c:v>
                </c:pt>
              </c:numCache>
            </c:numRef>
          </c:val>
        </c:ser>
        <c:ser>
          <c:idx val="1"/>
          <c:order val="1"/>
          <c:tx>
            <c:strRef>
              <c:f>plots!$E$16</c:f>
              <c:strCache>
                <c:ptCount val="1"/>
                <c:pt idx="0">
                  <c:v>2025 Contribution</c:v>
                </c:pt>
              </c:strCache>
            </c:strRef>
          </c:tx>
          <c:invertIfNegative val="0"/>
          <c:cat>
            <c:strRef>
              <c:f>plots!$C$17:$C$24</c:f>
              <c:strCache>
                <c:ptCount val="8"/>
                <c:pt idx="0">
                  <c:v>Natural</c:v>
                </c:pt>
                <c:pt idx="1">
                  <c:v>Fires</c:v>
                </c:pt>
                <c:pt idx="2">
                  <c:v>On-Road Mobile</c:v>
                </c:pt>
                <c:pt idx="3">
                  <c:v>Non-road Mobile</c:v>
                </c:pt>
                <c:pt idx="4">
                  <c:v>Oil and Gas</c:v>
                </c:pt>
                <c:pt idx="5">
                  <c:v>EGU</c:v>
                </c:pt>
                <c:pt idx="6">
                  <c:v>Non-EGU</c:v>
                </c:pt>
                <c:pt idx="7">
                  <c:v>Remainder Anthro</c:v>
                </c:pt>
              </c:strCache>
            </c:strRef>
          </c:cat>
          <c:val>
            <c:numRef>
              <c:f>plots!$E$17:$E$24</c:f>
              <c:numCache>
                <c:formatCode>General</c:formatCode>
                <c:ptCount val="8"/>
                <c:pt idx="0">
                  <c:v>2.0687780847872426</c:v>
                </c:pt>
                <c:pt idx="1">
                  <c:v>7.0816136417458736E-2</c:v>
                </c:pt>
                <c:pt idx="2">
                  <c:v>3.2873595958001016</c:v>
                </c:pt>
                <c:pt idx="3">
                  <c:v>1.6649347122444142</c:v>
                </c:pt>
                <c:pt idx="4">
                  <c:v>1.8704324623036168</c:v>
                </c:pt>
                <c:pt idx="5">
                  <c:v>2.3238370569195546</c:v>
                </c:pt>
                <c:pt idx="6">
                  <c:v>1.4382827820320501</c:v>
                </c:pt>
                <c:pt idx="7">
                  <c:v>0.29756880082103188</c:v>
                </c:pt>
              </c:numCache>
            </c:numRef>
          </c:val>
        </c:ser>
        <c:dLbls>
          <c:showLegendKey val="0"/>
          <c:showVal val="0"/>
          <c:showCatName val="0"/>
          <c:showSerName val="0"/>
          <c:showPercent val="0"/>
          <c:showBubbleSize val="0"/>
        </c:dLbls>
        <c:gapWidth val="150"/>
        <c:axId val="163337728"/>
        <c:axId val="163339648"/>
      </c:barChart>
      <c:catAx>
        <c:axId val="163337728"/>
        <c:scaling>
          <c:orientation val="minMax"/>
        </c:scaling>
        <c:delete val="0"/>
        <c:axPos val="b"/>
        <c:title>
          <c:tx>
            <c:strRef>
              <c:f>plots!$C$16</c:f>
              <c:strCache>
                <c:ptCount val="1"/>
                <c:pt idx="0">
                  <c:v>Sector Description</c:v>
                </c:pt>
              </c:strCache>
            </c:strRef>
          </c:tx>
          <c:overlay val="0"/>
          <c:txPr>
            <a:bodyPr/>
            <a:lstStyle/>
            <a:p>
              <a:pPr>
                <a:defRPr sz="1600"/>
              </a:pPr>
              <a:endParaRPr lang="en-US"/>
            </a:p>
          </c:txPr>
        </c:title>
        <c:majorTickMark val="out"/>
        <c:minorTickMark val="none"/>
        <c:tickLblPos val="nextTo"/>
        <c:txPr>
          <a:bodyPr/>
          <a:lstStyle/>
          <a:p>
            <a:pPr>
              <a:defRPr sz="1600"/>
            </a:pPr>
            <a:endParaRPr lang="en-US"/>
          </a:p>
        </c:txPr>
        <c:crossAx val="163339648"/>
        <c:crosses val="autoZero"/>
        <c:auto val="1"/>
        <c:lblAlgn val="ctr"/>
        <c:lblOffset val="100"/>
        <c:noMultiLvlLbl val="0"/>
      </c:catAx>
      <c:valAx>
        <c:axId val="163339648"/>
        <c:scaling>
          <c:orientation val="minMax"/>
          <c:max val="10"/>
          <c:min val="0"/>
        </c:scaling>
        <c:delete val="0"/>
        <c:axPos val="l"/>
        <c:majorGridlines/>
        <c:title>
          <c:tx>
            <c:rich>
              <a:bodyPr rot="-5400000" vert="horz"/>
              <a:lstStyle/>
              <a:p>
                <a:pPr>
                  <a:defRPr sz="1600"/>
                </a:pPr>
                <a:r>
                  <a:rPr lang="en-US" sz="1600"/>
                  <a:t>O3 (ppb)</a:t>
                </a:r>
              </a:p>
            </c:rich>
          </c:tx>
          <c:overlay val="0"/>
        </c:title>
        <c:numFmt formatCode="General" sourceLinked="1"/>
        <c:majorTickMark val="out"/>
        <c:minorTickMark val="none"/>
        <c:tickLblPos val="nextTo"/>
        <c:txPr>
          <a:bodyPr/>
          <a:lstStyle/>
          <a:p>
            <a:pPr>
              <a:defRPr sz="1600"/>
            </a:pPr>
            <a:endParaRPr lang="en-US"/>
          </a:p>
        </c:txPr>
        <c:crossAx val="163337728"/>
        <c:crosses val="autoZero"/>
        <c:crossBetween val="between"/>
        <c:majorUnit val="1"/>
        <c:minorUnit val="0.2"/>
      </c:valAx>
    </c:plotArea>
    <c:legend>
      <c:legendPos val="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plots!$B$27</c:f>
          <c:strCache>
            <c:ptCount val="1"/>
            <c:pt idx="0">
              <c:v>Top 10 Contributing Tracers in 2011</c:v>
            </c:pt>
          </c:strCache>
        </c:strRef>
      </c:tx>
      <c:layout/>
      <c:overlay val="0"/>
    </c:title>
    <c:autoTitleDeleted val="0"/>
    <c:plotArea>
      <c:layout/>
      <c:barChart>
        <c:barDir val="col"/>
        <c:grouping val="clustered"/>
        <c:varyColors val="0"/>
        <c:ser>
          <c:idx val="0"/>
          <c:order val="0"/>
          <c:tx>
            <c:strRef>
              <c:f>plots!$D$28</c:f>
              <c:strCache>
                <c:ptCount val="1"/>
                <c:pt idx="0">
                  <c:v>2011 Contribution</c:v>
                </c:pt>
              </c:strCache>
            </c:strRef>
          </c:tx>
          <c:invertIfNegative val="0"/>
          <c:cat>
            <c:strRef>
              <c:f>plots!$C$29:$C$38</c:f>
              <c:strCache>
                <c:ptCount val="10"/>
                <c:pt idx="0">
                  <c:v>On-Road Mobile: Texas</c:v>
                </c:pt>
                <c:pt idx="1">
                  <c:v>On-Road Mobile: Mexico</c:v>
                </c:pt>
                <c:pt idx="2">
                  <c:v>EGU: Mexico</c:v>
                </c:pt>
                <c:pt idx="3">
                  <c:v>On-Road Mobile: New Mexico</c:v>
                </c:pt>
                <c:pt idx="4">
                  <c:v>Oil and Gas: Texas</c:v>
                </c:pt>
                <c:pt idx="5">
                  <c:v>Non-road Mobile: Texas</c:v>
                </c:pt>
                <c:pt idx="6">
                  <c:v>Natural: Texas</c:v>
                </c:pt>
                <c:pt idx="7">
                  <c:v>Natural: Mexico</c:v>
                </c:pt>
                <c:pt idx="8">
                  <c:v>Non-road Mobile: Mexico</c:v>
                </c:pt>
                <c:pt idx="9">
                  <c:v>Natural: New Mexico</c:v>
                </c:pt>
              </c:strCache>
            </c:strRef>
          </c:cat>
          <c:val>
            <c:numRef>
              <c:f>plots!$D$29:$D$38</c:f>
              <c:numCache>
                <c:formatCode>General</c:formatCode>
                <c:ptCount val="10"/>
                <c:pt idx="0">
                  <c:v>3.8</c:v>
                </c:pt>
                <c:pt idx="1">
                  <c:v>2</c:v>
                </c:pt>
                <c:pt idx="2">
                  <c:v>1.6</c:v>
                </c:pt>
                <c:pt idx="3">
                  <c:v>1.3</c:v>
                </c:pt>
                <c:pt idx="4">
                  <c:v>1.2</c:v>
                </c:pt>
                <c:pt idx="5">
                  <c:v>0.9</c:v>
                </c:pt>
                <c:pt idx="6">
                  <c:v>0.9</c:v>
                </c:pt>
                <c:pt idx="7">
                  <c:v>0.8</c:v>
                </c:pt>
                <c:pt idx="8">
                  <c:v>0.5</c:v>
                </c:pt>
                <c:pt idx="9">
                  <c:v>0.5</c:v>
                </c:pt>
              </c:numCache>
            </c:numRef>
          </c:val>
        </c:ser>
        <c:ser>
          <c:idx val="1"/>
          <c:order val="1"/>
          <c:tx>
            <c:strRef>
              <c:f>plots!$E$28</c:f>
              <c:strCache>
                <c:ptCount val="1"/>
                <c:pt idx="0">
                  <c:v>2025 Contribution</c:v>
                </c:pt>
              </c:strCache>
            </c:strRef>
          </c:tx>
          <c:invertIfNegative val="0"/>
          <c:cat>
            <c:strRef>
              <c:f>plots!$C$29:$C$38</c:f>
              <c:strCache>
                <c:ptCount val="10"/>
                <c:pt idx="0">
                  <c:v>On-Road Mobile: Texas</c:v>
                </c:pt>
                <c:pt idx="1">
                  <c:v>On-Road Mobile: Mexico</c:v>
                </c:pt>
                <c:pt idx="2">
                  <c:v>EGU: Mexico</c:v>
                </c:pt>
                <c:pt idx="3">
                  <c:v>On-Road Mobile: New Mexico</c:v>
                </c:pt>
                <c:pt idx="4">
                  <c:v>Oil and Gas: Texas</c:v>
                </c:pt>
                <c:pt idx="5">
                  <c:v>Non-road Mobile: Texas</c:v>
                </c:pt>
                <c:pt idx="6">
                  <c:v>Natural: Texas</c:v>
                </c:pt>
                <c:pt idx="7">
                  <c:v>Natural: Mexico</c:v>
                </c:pt>
                <c:pt idx="8">
                  <c:v>Non-road Mobile: Mexico</c:v>
                </c:pt>
                <c:pt idx="9">
                  <c:v>Natural: New Mexico</c:v>
                </c:pt>
              </c:strCache>
            </c:strRef>
          </c:cat>
          <c:val>
            <c:numRef>
              <c:f>plots!$E$29:$E$38</c:f>
              <c:numCache>
                <c:formatCode>General</c:formatCode>
                <c:ptCount val="10"/>
                <c:pt idx="0">
                  <c:v>1.6366284045156683</c:v>
                </c:pt>
                <c:pt idx="1">
                  <c:v>1.0485421962579942</c:v>
                </c:pt>
                <c:pt idx="2">
                  <c:v>2.06172669140286</c:v>
                </c:pt>
                <c:pt idx="3">
                  <c:v>0.53137285860898043</c:v>
                </c:pt>
                <c:pt idx="4">
                  <c:v>1.5870671824425659</c:v>
                </c:pt>
                <c:pt idx="5">
                  <c:v>0.66595373805952252</c:v>
                </c:pt>
                <c:pt idx="6">
                  <c:v>0.74392200205257974</c:v>
                </c:pt>
                <c:pt idx="7">
                  <c:v>0.85019657377437585</c:v>
                </c:pt>
                <c:pt idx="8">
                  <c:v>0.65185095129075754</c:v>
                </c:pt>
                <c:pt idx="9">
                  <c:v>0.41089476592721053</c:v>
                </c:pt>
              </c:numCache>
            </c:numRef>
          </c:val>
        </c:ser>
        <c:dLbls>
          <c:showLegendKey val="0"/>
          <c:showVal val="0"/>
          <c:showCatName val="0"/>
          <c:showSerName val="0"/>
          <c:showPercent val="0"/>
          <c:showBubbleSize val="0"/>
        </c:dLbls>
        <c:gapWidth val="150"/>
        <c:axId val="163996416"/>
        <c:axId val="163998336"/>
      </c:barChart>
      <c:catAx>
        <c:axId val="163996416"/>
        <c:scaling>
          <c:orientation val="minMax"/>
        </c:scaling>
        <c:delete val="0"/>
        <c:axPos val="b"/>
        <c:title>
          <c:tx>
            <c:strRef>
              <c:f>plots!$B$28</c:f>
              <c:strCache>
                <c:ptCount val="1"/>
                <c:pt idx="0">
                  <c:v>Tracer Name</c:v>
                </c:pt>
              </c:strCache>
            </c:strRef>
          </c:tx>
          <c:layout/>
          <c:overlay val="0"/>
          <c:txPr>
            <a:bodyPr/>
            <a:lstStyle/>
            <a:p>
              <a:pPr>
                <a:defRPr sz="1600"/>
              </a:pPr>
              <a:endParaRPr lang="en-US"/>
            </a:p>
          </c:txPr>
        </c:title>
        <c:numFmt formatCode="General" sourceLinked="1"/>
        <c:majorTickMark val="out"/>
        <c:minorTickMark val="none"/>
        <c:tickLblPos val="nextTo"/>
        <c:txPr>
          <a:bodyPr/>
          <a:lstStyle/>
          <a:p>
            <a:pPr>
              <a:defRPr sz="1600"/>
            </a:pPr>
            <a:endParaRPr lang="en-US"/>
          </a:p>
        </c:txPr>
        <c:crossAx val="163998336"/>
        <c:crosses val="autoZero"/>
        <c:auto val="1"/>
        <c:lblAlgn val="ctr"/>
        <c:lblOffset val="100"/>
        <c:noMultiLvlLbl val="0"/>
      </c:catAx>
      <c:valAx>
        <c:axId val="163998336"/>
        <c:scaling>
          <c:orientation val="minMax"/>
          <c:max val="6"/>
          <c:min val="0"/>
        </c:scaling>
        <c:delete val="0"/>
        <c:axPos val="l"/>
        <c:majorGridlines/>
        <c:title>
          <c:tx>
            <c:rich>
              <a:bodyPr rot="-5400000" vert="horz"/>
              <a:lstStyle/>
              <a:p>
                <a:pPr>
                  <a:defRPr sz="1600"/>
                </a:pPr>
                <a:r>
                  <a:rPr lang="en-US" sz="1600"/>
                  <a:t>O3 (ppb)</a:t>
                </a:r>
              </a:p>
            </c:rich>
          </c:tx>
          <c:layout/>
          <c:overlay val="0"/>
        </c:title>
        <c:numFmt formatCode="General" sourceLinked="1"/>
        <c:majorTickMark val="out"/>
        <c:minorTickMark val="none"/>
        <c:tickLblPos val="nextTo"/>
        <c:txPr>
          <a:bodyPr/>
          <a:lstStyle/>
          <a:p>
            <a:pPr>
              <a:defRPr sz="1600"/>
            </a:pPr>
            <a:endParaRPr lang="en-US"/>
          </a:p>
        </c:txPr>
        <c:crossAx val="163996416"/>
        <c:crosses val="autoZero"/>
        <c:crossBetween val="between"/>
        <c:majorUnit val="1"/>
        <c:minorUnit val="0.2"/>
      </c:valAx>
    </c:plotArea>
    <c:legend>
      <c:legendPos val="t"/>
      <c:layout/>
      <c:overlay val="0"/>
      <c:txPr>
        <a:bodyPr/>
        <a:lstStyle/>
        <a:p>
          <a:pPr>
            <a:defRPr sz="16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plots!$B$7</c:f>
          <c:strCache>
            <c:ptCount val="1"/>
            <c:pt idx="0">
              <c:v>Regional Contribution</c:v>
            </c:pt>
          </c:strCache>
        </c:strRef>
      </c:tx>
      <c:overlay val="0"/>
      <c:txPr>
        <a:bodyPr/>
        <a:lstStyle/>
        <a:p>
          <a:pPr>
            <a:defRPr sz="1800"/>
          </a:pPr>
          <a:endParaRPr lang="en-US"/>
        </a:p>
      </c:txPr>
    </c:title>
    <c:autoTitleDeleted val="0"/>
    <c:plotArea>
      <c:layout/>
      <c:barChart>
        <c:barDir val="col"/>
        <c:grouping val="stacked"/>
        <c:varyColors val="0"/>
        <c:ser>
          <c:idx val="4"/>
          <c:order val="0"/>
          <c:tx>
            <c:strRef>
              <c:f>plots!$C$13</c:f>
              <c:strCache>
                <c:ptCount val="1"/>
                <c:pt idx="0">
                  <c:v>Boundary Conditions</c:v>
                </c:pt>
              </c:strCache>
            </c:strRef>
          </c:tx>
          <c:spPr>
            <a:solidFill>
              <a:schemeClr val="accent5">
                <a:lumMod val="40000"/>
                <a:lumOff val="60000"/>
              </a:schemeClr>
            </a:solidFill>
          </c:spPr>
          <c:invertIfNegative val="0"/>
          <c:dLbls>
            <c:numFmt formatCode="#,##0" sourceLinked="0"/>
            <c:showLegendKey val="0"/>
            <c:showVal val="1"/>
            <c:showCatName val="0"/>
            <c:showSerName val="0"/>
            <c:showPercent val="0"/>
            <c:showBubbleSize val="0"/>
            <c:showLeaderLines val="0"/>
          </c:dLbls>
          <c:cat>
            <c:strRef>
              <c:f>plots!$D$8:$E$8</c:f>
              <c:strCache>
                <c:ptCount val="2"/>
                <c:pt idx="0">
                  <c:v>2011 Contribution</c:v>
                </c:pt>
                <c:pt idx="1">
                  <c:v>2025 Contribution</c:v>
                </c:pt>
              </c:strCache>
            </c:strRef>
          </c:cat>
          <c:val>
            <c:numRef>
              <c:f>plots!$D$13:$E$13</c:f>
              <c:numCache>
                <c:formatCode>General</c:formatCode>
                <c:ptCount val="2"/>
                <c:pt idx="0">
                  <c:v>53.879317148641292</c:v>
                </c:pt>
                <c:pt idx="1">
                  <c:v>50.777990368674523</c:v>
                </c:pt>
              </c:numCache>
            </c:numRef>
          </c:val>
        </c:ser>
        <c:ser>
          <c:idx val="0"/>
          <c:order val="1"/>
          <c:tx>
            <c:strRef>
              <c:f>plots!$C$9</c:f>
              <c:strCache>
                <c:ptCount val="1"/>
                <c:pt idx="0">
                  <c:v>New Mexico</c:v>
                </c:pt>
              </c:strCache>
            </c:strRef>
          </c:tx>
          <c:invertIfNegative val="0"/>
          <c:dLbls>
            <c:numFmt formatCode="#,##0.0" sourceLinked="0"/>
            <c:dLblPos val="ctr"/>
            <c:showLegendKey val="0"/>
            <c:showVal val="1"/>
            <c:showCatName val="0"/>
            <c:showSerName val="0"/>
            <c:showPercent val="0"/>
            <c:showBubbleSize val="0"/>
            <c:showLeaderLines val="0"/>
          </c:dLbls>
          <c:cat>
            <c:strRef>
              <c:f>plots!$D$8:$E$8</c:f>
              <c:strCache>
                <c:ptCount val="2"/>
                <c:pt idx="0">
                  <c:v>2011 Contribution</c:v>
                </c:pt>
                <c:pt idx="1">
                  <c:v>2025 Contribution</c:v>
                </c:pt>
              </c:strCache>
            </c:strRef>
          </c:cat>
          <c:val>
            <c:numRef>
              <c:f>plots!$D$9:$E$9</c:f>
              <c:numCache>
                <c:formatCode>General</c:formatCode>
                <c:ptCount val="2"/>
                <c:pt idx="0">
                  <c:v>2.5855021590194629</c:v>
                </c:pt>
                <c:pt idx="1">
                  <c:v>1.7144959343175097</c:v>
                </c:pt>
              </c:numCache>
            </c:numRef>
          </c:val>
        </c:ser>
        <c:ser>
          <c:idx val="1"/>
          <c:order val="2"/>
          <c:tx>
            <c:strRef>
              <c:f>plots!$C$10</c:f>
              <c:strCache>
                <c:ptCount val="1"/>
                <c:pt idx="0">
                  <c:v>Texas</c:v>
                </c:pt>
              </c:strCache>
            </c:strRef>
          </c:tx>
          <c:invertIfNegative val="0"/>
          <c:dLbls>
            <c:numFmt formatCode="#,##0.0" sourceLinked="0"/>
            <c:showLegendKey val="0"/>
            <c:showVal val="1"/>
            <c:showCatName val="0"/>
            <c:showSerName val="0"/>
            <c:showPercent val="0"/>
            <c:showBubbleSize val="0"/>
            <c:showLeaderLines val="0"/>
          </c:dLbls>
          <c:cat>
            <c:strRef>
              <c:f>plots!$D$8:$E$8</c:f>
              <c:strCache>
                <c:ptCount val="2"/>
                <c:pt idx="0">
                  <c:v>2011 Contribution</c:v>
                </c:pt>
                <c:pt idx="1">
                  <c:v>2025 Contribution</c:v>
                </c:pt>
              </c:strCache>
            </c:strRef>
          </c:cat>
          <c:val>
            <c:numRef>
              <c:f>plots!$D$10:$E$10</c:f>
              <c:numCache>
                <c:formatCode>General</c:formatCode>
                <c:ptCount val="2"/>
                <c:pt idx="0">
                  <c:v>7.8261115282096734</c:v>
                </c:pt>
                <c:pt idx="1">
                  <c:v>5.5545840372621704</c:v>
                </c:pt>
              </c:numCache>
            </c:numRef>
          </c:val>
        </c:ser>
        <c:ser>
          <c:idx val="2"/>
          <c:order val="3"/>
          <c:tx>
            <c:strRef>
              <c:f>plots!$C$11</c:f>
              <c:strCache>
                <c:ptCount val="1"/>
                <c:pt idx="0">
                  <c:v>Mexico</c:v>
                </c:pt>
              </c:strCache>
            </c:strRef>
          </c:tx>
          <c:invertIfNegative val="0"/>
          <c:dLbls>
            <c:numFmt formatCode="#,##0.0" sourceLinked="0"/>
            <c:showLegendKey val="0"/>
            <c:showVal val="1"/>
            <c:showCatName val="0"/>
            <c:showSerName val="0"/>
            <c:showPercent val="0"/>
            <c:showBubbleSize val="0"/>
            <c:showLeaderLines val="0"/>
          </c:dLbls>
          <c:cat>
            <c:strRef>
              <c:f>plots!$D$8:$E$8</c:f>
              <c:strCache>
                <c:ptCount val="2"/>
                <c:pt idx="0">
                  <c:v>2011 Contribution</c:v>
                </c:pt>
                <c:pt idx="1">
                  <c:v>2025 Contribution</c:v>
                </c:pt>
              </c:strCache>
            </c:strRef>
          </c:cat>
          <c:val>
            <c:numRef>
              <c:f>plots!$D$11:$E$11</c:f>
              <c:numCache>
                <c:formatCode>General</c:formatCode>
                <c:ptCount val="2"/>
                <c:pt idx="0">
                  <c:v>5.4804713799916556</c:v>
                </c:pt>
                <c:pt idx="1">
                  <c:v>5.4129517644272624</c:v>
                </c:pt>
              </c:numCache>
            </c:numRef>
          </c:val>
        </c:ser>
        <c:ser>
          <c:idx val="3"/>
          <c:order val="4"/>
          <c:tx>
            <c:strRef>
              <c:f>plots!$C$12</c:f>
              <c:strCache>
                <c:ptCount val="1"/>
                <c:pt idx="0">
                  <c:v>Other 12km</c:v>
                </c:pt>
              </c:strCache>
            </c:strRef>
          </c:tx>
          <c:invertIfNegative val="0"/>
          <c:cat>
            <c:strRef>
              <c:f>plots!$D$8:$E$8</c:f>
              <c:strCache>
                <c:ptCount val="2"/>
                <c:pt idx="0">
                  <c:v>2011 Contribution</c:v>
                </c:pt>
                <c:pt idx="1">
                  <c:v>2025 Contribution</c:v>
                </c:pt>
              </c:strCache>
            </c:strRef>
          </c:cat>
          <c:val>
            <c:numRef>
              <c:f>plots!$D$12:$E$12</c:f>
              <c:numCache>
                <c:formatCode>General</c:formatCode>
                <c:ptCount val="2"/>
                <c:pt idx="0">
                  <c:v>0.52859778413791025</c:v>
                </c:pt>
                <c:pt idx="1">
                  <c:v>0.33997789531852862</c:v>
                </c:pt>
              </c:numCache>
            </c:numRef>
          </c:val>
        </c:ser>
        <c:dLbls>
          <c:showLegendKey val="0"/>
          <c:showVal val="0"/>
          <c:showCatName val="0"/>
          <c:showSerName val="0"/>
          <c:showPercent val="0"/>
          <c:showBubbleSize val="0"/>
        </c:dLbls>
        <c:gapWidth val="150"/>
        <c:overlap val="100"/>
        <c:axId val="163842304"/>
        <c:axId val="163868672"/>
      </c:barChart>
      <c:catAx>
        <c:axId val="163842304"/>
        <c:scaling>
          <c:orientation val="minMax"/>
        </c:scaling>
        <c:delete val="0"/>
        <c:axPos val="b"/>
        <c:majorTickMark val="out"/>
        <c:minorTickMark val="none"/>
        <c:tickLblPos val="nextTo"/>
        <c:txPr>
          <a:bodyPr/>
          <a:lstStyle/>
          <a:p>
            <a:pPr>
              <a:defRPr sz="1600"/>
            </a:pPr>
            <a:endParaRPr lang="en-US"/>
          </a:p>
        </c:txPr>
        <c:crossAx val="163868672"/>
        <c:crosses val="autoZero"/>
        <c:auto val="1"/>
        <c:lblAlgn val="ctr"/>
        <c:lblOffset val="100"/>
        <c:noMultiLvlLbl val="0"/>
      </c:catAx>
      <c:valAx>
        <c:axId val="163868672"/>
        <c:scaling>
          <c:orientation val="minMax"/>
          <c:max val="80"/>
          <c:min val="0"/>
        </c:scaling>
        <c:delete val="0"/>
        <c:axPos val="l"/>
        <c:majorGridlines/>
        <c:minorGridlines/>
        <c:numFmt formatCode="General" sourceLinked="1"/>
        <c:majorTickMark val="out"/>
        <c:minorTickMark val="none"/>
        <c:tickLblPos val="nextTo"/>
        <c:txPr>
          <a:bodyPr/>
          <a:lstStyle/>
          <a:p>
            <a:pPr>
              <a:defRPr sz="1600"/>
            </a:pPr>
            <a:endParaRPr lang="en-US"/>
          </a:p>
        </c:txPr>
        <c:crossAx val="163842304"/>
        <c:crosses val="autoZero"/>
        <c:crossBetween val="between"/>
        <c:majorUnit val="10"/>
        <c:minorUnit val="5"/>
      </c:valAx>
    </c:plotArea>
    <c:legend>
      <c:legendPos val="r"/>
      <c:overlay val="0"/>
      <c:txPr>
        <a:bodyPr/>
        <a:lstStyle/>
        <a:p>
          <a:pPr>
            <a:defRPr sz="14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plots!$B$15</c:f>
          <c:strCache>
            <c:ptCount val="1"/>
            <c:pt idx="0">
              <c:v>Sector Contribution</c:v>
            </c:pt>
          </c:strCache>
        </c:strRef>
      </c:tx>
      <c:overlay val="0"/>
    </c:title>
    <c:autoTitleDeleted val="0"/>
    <c:plotArea>
      <c:layout/>
      <c:barChart>
        <c:barDir val="col"/>
        <c:grouping val="stacked"/>
        <c:varyColors val="0"/>
        <c:ser>
          <c:idx val="8"/>
          <c:order val="0"/>
          <c:tx>
            <c:strRef>
              <c:f>plots!$C$13</c:f>
              <c:strCache>
                <c:ptCount val="1"/>
                <c:pt idx="0">
                  <c:v>Boundary Conditions</c:v>
                </c:pt>
              </c:strCache>
            </c:strRef>
          </c:tx>
          <c:spPr>
            <a:solidFill>
              <a:schemeClr val="accent5">
                <a:lumMod val="40000"/>
                <a:lumOff val="60000"/>
              </a:schemeClr>
            </a:solidFill>
          </c:spPr>
          <c:invertIfNegative val="0"/>
          <c:dLbls>
            <c:numFmt formatCode="#,##0" sourceLinked="0"/>
            <c:txPr>
              <a:bodyPr/>
              <a:lstStyle/>
              <a:p>
                <a:pPr>
                  <a:defRPr sz="1600"/>
                </a:pPr>
                <a:endParaRPr lang="en-US"/>
              </a:p>
            </c:txPr>
            <c:showLegendKey val="0"/>
            <c:showVal val="1"/>
            <c:showCatName val="0"/>
            <c:showSerName val="0"/>
            <c:showPercent val="0"/>
            <c:showBubbleSize val="0"/>
            <c:showLeaderLines val="0"/>
          </c:dLbls>
          <c:cat>
            <c:strRef>
              <c:f>plots!$D$16:$E$16</c:f>
              <c:strCache>
                <c:ptCount val="2"/>
                <c:pt idx="0">
                  <c:v>2011 Contribution</c:v>
                </c:pt>
                <c:pt idx="1">
                  <c:v>2025 Contribution</c:v>
                </c:pt>
              </c:strCache>
            </c:strRef>
          </c:cat>
          <c:val>
            <c:numRef>
              <c:f>plots!$D$13:$E$13</c:f>
              <c:numCache>
                <c:formatCode>General</c:formatCode>
                <c:ptCount val="2"/>
                <c:pt idx="0">
                  <c:v>53.879317148641292</c:v>
                </c:pt>
                <c:pt idx="1">
                  <c:v>50.777990368674523</c:v>
                </c:pt>
              </c:numCache>
            </c:numRef>
          </c:val>
        </c:ser>
        <c:ser>
          <c:idx val="0"/>
          <c:order val="1"/>
          <c:tx>
            <c:strRef>
              <c:f>plots!$C$17</c:f>
              <c:strCache>
                <c:ptCount val="1"/>
                <c:pt idx="0">
                  <c:v>Natural</c:v>
                </c:pt>
              </c:strCache>
            </c:strRef>
          </c:tx>
          <c:invertIfNegative val="0"/>
          <c:dLbls>
            <c:numFmt formatCode="#,##0.0" sourceLinked="0"/>
            <c:showLegendKey val="0"/>
            <c:showVal val="1"/>
            <c:showCatName val="0"/>
            <c:showSerName val="0"/>
            <c:showPercent val="0"/>
            <c:showBubbleSize val="0"/>
            <c:showLeaderLines val="0"/>
          </c:dLbls>
          <c:cat>
            <c:strRef>
              <c:f>plots!$D$16:$E$16</c:f>
              <c:strCache>
                <c:ptCount val="2"/>
                <c:pt idx="0">
                  <c:v>2011 Contribution</c:v>
                </c:pt>
                <c:pt idx="1">
                  <c:v>2025 Contribution</c:v>
                </c:pt>
              </c:strCache>
            </c:strRef>
          </c:cat>
          <c:val>
            <c:numRef>
              <c:f>plots!$D$17:$E$17</c:f>
              <c:numCache>
                <c:formatCode>General</c:formatCode>
                <c:ptCount val="2"/>
                <c:pt idx="0">
                  <c:v>2.2894553515333618</c:v>
                </c:pt>
                <c:pt idx="1">
                  <c:v>2.0687780847872426</c:v>
                </c:pt>
              </c:numCache>
            </c:numRef>
          </c:val>
        </c:ser>
        <c:ser>
          <c:idx val="1"/>
          <c:order val="2"/>
          <c:tx>
            <c:strRef>
              <c:f>plots!$C$18</c:f>
              <c:strCache>
                <c:ptCount val="1"/>
                <c:pt idx="0">
                  <c:v>Fires</c:v>
                </c:pt>
              </c:strCache>
            </c:strRef>
          </c:tx>
          <c:invertIfNegative val="0"/>
          <c:cat>
            <c:strRef>
              <c:f>plots!$D$16:$E$16</c:f>
              <c:strCache>
                <c:ptCount val="2"/>
                <c:pt idx="0">
                  <c:v>2011 Contribution</c:v>
                </c:pt>
                <c:pt idx="1">
                  <c:v>2025 Contribution</c:v>
                </c:pt>
              </c:strCache>
            </c:strRef>
          </c:cat>
          <c:val>
            <c:numRef>
              <c:f>plots!$D$18:$E$18</c:f>
              <c:numCache>
                <c:formatCode>General</c:formatCode>
                <c:ptCount val="2"/>
                <c:pt idx="0">
                  <c:v>0.11988092982435297</c:v>
                </c:pt>
                <c:pt idx="1">
                  <c:v>7.0816136417458736E-2</c:v>
                </c:pt>
              </c:numCache>
            </c:numRef>
          </c:val>
        </c:ser>
        <c:ser>
          <c:idx val="2"/>
          <c:order val="3"/>
          <c:tx>
            <c:strRef>
              <c:f>plots!$C$19</c:f>
              <c:strCache>
                <c:ptCount val="1"/>
                <c:pt idx="0">
                  <c:v>On-Road Mobile</c:v>
                </c:pt>
              </c:strCache>
            </c:strRef>
          </c:tx>
          <c:invertIfNegative val="0"/>
          <c:dLbls>
            <c:numFmt formatCode="#,##0.0" sourceLinked="0"/>
            <c:txPr>
              <a:bodyPr/>
              <a:lstStyle/>
              <a:p>
                <a:pPr>
                  <a:defRPr sz="1000"/>
                </a:pPr>
                <a:endParaRPr lang="en-US"/>
              </a:p>
            </c:txPr>
            <c:showLegendKey val="0"/>
            <c:showVal val="1"/>
            <c:showCatName val="0"/>
            <c:showSerName val="0"/>
            <c:showPercent val="0"/>
            <c:showBubbleSize val="0"/>
            <c:showLeaderLines val="0"/>
          </c:dLbls>
          <c:cat>
            <c:strRef>
              <c:f>plots!$D$16:$E$16</c:f>
              <c:strCache>
                <c:ptCount val="2"/>
                <c:pt idx="0">
                  <c:v>2011 Contribution</c:v>
                </c:pt>
                <c:pt idx="1">
                  <c:v>2025 Contribution</c:v>
                </c:pt>
              </c:strCache>
            </c:strRef>
          </c:cat>
          <c:val>
            <c:numRef>
              <c:f>plots!$D$19:$E$19</c:f>
              <c:numCache>
                <c:formatCode>General</c:formatCode>
                <c:ptCount val="2"/>
                <c:pt idx="0">
                  <c:v>7.2201970541599714</c:v>
                </c:pt>
                <c:pt idx="1">
                  <c:v>3.2873595958001016</c:v>
                </c:pt>
              </c:numCache>
            </c:numRef>
          </c:val>
        </c:ser>
        <c:ser>
          <c:idx val="3"/>
          <c:order val="4"/>
          <c:tx>
            <c:strRef>
              <c:f>plots!$C$20</c:f>
              <c:strCache>
                <c:ptCount val="1"/>
                <c:pt idx="0">
                  <c:v>Non-road Mobile</c:v>
                </c:pt>
              </c:strCache>
            </c:strRef>
          </c:tx>
          <c:invertIfNegative val="0"/>
          <c:cat>
            <c:strRef>
              <c:f>plots!$D$16:$E$16</c:f>
              <c:strCache>
                <c:ptCount val="2"/>
                <c:pt idx="0">
                  <c:v>2011 Contribution</c:v>
                </c:pt>
                <c:pt idx="1">
                  <c:v>2025 Contribution</c:v>
                </c:pt>
              </c:strCache>
            </c:strRef>
          </c:cat>
          <c:val>
            <c:numRef>
              <c:f>plots!$D$20:$E$20</c:f>
              <c:numCache>
                <c:formatCode>General</c:formatCode>
                <c:ptCount val="2"/>
                <c:pt idx="0">
                  <c:v>1.9019705415997508</c:v>
                </c:pt>
                <c:pt idx="1">
                  <c:v>1.6649347122444142</c:v>
                </c:pt>
              </c:numCache>
            </c:numRef>
          </c:val>
        </c:ser>
        <c:ser>
          <c:idx val="4"/>
          <c:order val="5"/>
          <c:tx>
            <c:strRef>
              <c:f>plots!$C$21</c:f>
              <c:strCache>
                <c:ptCount val="1"/>
                <c:pt idx="0">
                  <c:v>Oil and Gas</c:v>
                </c:pt>
              </c:strCache>
            </c:strRef>
          </c:tx>
          <c:invertIfNegative val="0"/>
          <c:cat>
            <c:strRef>
              <c:f>plots!$D$16:$E$16</c:f>
              <c:strCache>
                <c:ptCount val="2"/>
                <c:pt idx="0">
                  <c:v>2011 Contribution</c:v>
                </c:pt>
                <c:pt idx="1">
                  <c:v>2025 Contribution</c:v>
                </c:pt>
              </c:strCache>
            </c:strRef>
          </c:cat>
          <c:val>
            <c:numRef>
              <c:f>plots!$D$21:$E$21</c:f>
              <c:numCache>
                <c:formatCode>General</c:formatCode>
                <c:ptCount val="2"/>
                <c:pt idx="0">
                  <c:v>1.4512903542900231</c:v>
                </c:pt>
                <c:pt idx="1">
                  <c:v>1.8704324623036168</c:v>
                </c:pt>
              </c:numCache>
            </c:numRef>
          </c:val>
        </c:ser>
        <c:ser>
          <c:idx val="5"/>
          <c:order val="6"/>
          <c:tx>
            <c:strRef>
              <c:f>plots!$C$22</c:f>
              <c:strCache>
                <c:ptCount val="1"/>
                <c:pt idx="0">
                  <c:v>EGU</c:v>
                </c:pt>
              </c:strCache>
            </c:strRef>
          </c:tx>
          <c:invertIfNegative val="0"/>
          <c:cat>
            <c:strRef>
              <c:f>plots!$D$16:$E$16</c:f>
              <c:strCache>
                <c:ptCount val="2"/>
                <c:pt idx="0">
                  <c:v>2011 Contribution</c:v>
                </c:pt>
                <c:pt idx="1">
                  <c:v>2025 Contribution</c:v>
                </c:pt>
              </c:strCache>
            </c:strRef>
          </c:cat>
          <c:val>
            <c:numRef>
              <c:f>plots!$D$22:$E$22</c:f>
              <c:numCache>
                <c:formatCode>General</c:formatCode>
                <c:ptCount val="2"/>
                <c:pt idx="0">
                  <c:v>2.211938359316092</c:v>
                </c:pt>
                <c:pt idx="1">
                  <c:v>2.3238370569195546</c:v>
                </c:pt>
              </c:numCache>
            </c:numRef>
          </c:val>
        </c:ser>
        <c:ser>
          <c:idx val="6"/>
          <c:order val="7"/>
          <c:tx>
            <c:strRef>
              <c:f>plots!$C$23</c:f>
              <c:strCache>
                <c:ptCount val="1"/>
                <c:pt idx="0">
                  <c:v>Non-EGU</c:v>
                </c:pt>
              </c:strCache>
            </c:strRef>
          </c:tx>
          <c:invertIfNegative val="0"/>
          <c:cat>
            <c:strRef>
              <c:f>plots!$D$16:$E$16</c:f>
              <c:strCache>
                <c:ptCount val="2"/>
                <c:pt idx="0">
                  <c:v>2011 Contribution</c:v>
                </c:pt>
                <c:pt idx="1">
                  <c:v>2025 Contribution</c:v>
                </c:pt>
              </c:strCache>
            </c:strRef>
          </c:cat>
          <c:val>
            <c:numRef>
              <c:f>plots!$D$23:$E$23</c:f>
              <c:numCache>
                <c:formatCode>General</c:formatCode>
                <c:ptCount val="2"/>
                <c:pt idx="0">
                  <c:v>0.83836529954880212</c:v>
                </c:pt>
                <c:pt idx="1">
                  <c:v>1.4382827820320501</c:v>
                </c:pt>
              </c:numCache>
            </c:numRef>
          </c:val>
        </c:ser>
        <c:ser>
          <c:idx val="7"/>
          <c:order val="8"/>
          <c:tx>
            <c:strRef>
              <c:f>plots!$C$24</c:f>
              <c:strCache>
                <c:ptCount val="1"/>
                <c:pt idx="0">
                  <c:v>Remainder Anthro</c:v>
                </c:pt>
              </c:strCache>
            </c:strRef>
          </c:tx>
          <c:invertIfNegative val="0"/>
          <c:cat>
            <c:strRef>
              <c:f>plots!$D$16:$E$16</c:f>
              <c:strCache>
                <c:ptCount val="2"/>
                <c:pt idx="0">
                  <c:v>2011 Contribution</c:v>
                </c:pt>
                <c:pt idx="1">
                  <c:v>2025 Contribution</c:v>
                </c:pt>
              </c:strCache>
            </c:strRef>
          </c:cat>
          <c:val>
            <c:numRef>
              <c:f>plots!$D$24:$E$24</c:f>
              <c:numCache>
                <c:formatCode>General</c:formatCode>
                <c:ptCount val="2"/>
                <c:pt idx="0">
                  <c:v>0.38758496108634971</c:v>
                </c:pt>
                <c:pt idx="1">
                  <c:v>0.29756880082103188</c:v>
                </c:pt>
              </c:numCache>
            </c:numRef>
          </c:val>
        </c:ser>
        <c:dLbls>
          <c:showLegendKey val="0"/>
          <c:showVal val="0"/>
          <c:showCatName val="0"/>
          <c:showSerName val="0"/>
          <c:showPercent val="0"/>
          <c:showBubbleSize val="0"/>
        </c:dLbls>
        <c:gapWidth val="150"/>
        <c:overlap val="100"/>
        <c:axId val="163921280"/>
        <c:axId val="163935360"/>
      </c:barChart>
      <c:catAx>
        <c:axId val="163921280"/>
        <c:scaling>
          <c:orientation val="minMax"/>
        </c:scaling>
        <c:delete val="0"/>
        <c:axPos val="b"/>
        <c:majorTickMark val="out"/>
        <c:minorTickMark val="none"/>
        <c:tickLblPos val="nextTo"/>
        <c:txPr>
          <a:bodyPr/>
          <a:lstStyle/>
          <a:p>
            <a:pPr>
              <a:defRPr sz="1600"/>
            </a:pPr>
            <a:endParaRPr lang="en-US"/>
          </a:p>
        </c:txPr>
        <c:crossAx val="163935360"/>
        <c:crosses val="autoZero"/>
        <c:auto val="1"/>
        <c:lblAlgn val="ctr"/>
        <c:lblOffset val="100"/>
        <c:noMultiLvlLbl val="0"/>
      </c:catAx>
      <c:valAx>
        <c:axId val="163935360"/>
        <c:scaling>
          <c:orientation val="minMax"/>
          <c:max val="80"/>
          <c:min val="0"/>
        </c:scaling>
        <c:delete val="0"/>
        <c:axPos val="l"/>
        <c:majorGridlines/>
        <c:minorGridlines/>
        <c:numFmt formatCode="General" sourceLinked="1"/>
        <c:majorTickMark val="out"/>
        <c:minorTickMark val="none"/>
        <c:tickLblPos val="nextTo"/>
        <c:txPr>
          <a:bodyPr/>
          <a:lstStyle/>
          <a:p>
            <a:pPr>
              <a:defRPr sz="1600"/>
            </a:pPr>
            <a:endParaRPr lang="en-US"/>
          </a:p>
        </c:txPr>
        <c:crossAx val="163921280"/>
        <c:crosses val="autoZero"/>
        <c:crossBetween val="between"/>
        <c:majorUnit val="10"/>
        <c:minorUnit val="5"/>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plots!$B$40</c:f>
          <c:strCache>
            <c:ptCount val="1"/>
            <c:pt idx="0">
              <c:v>Top 10 Contributing Tracers in 2025</c:v>
            </c:pt>
          </c:strCache>
        </c:strRef>
      </c:tx>
      <c:layout/>
      <c:overlay val="0"/>
    </c:title>
    <c:autoTitleDeleted val="0"/>
    <c:plotArea>
      <c:layout/>
      <c:barChart>
        <c:barDir val="col"/>
        <c:grouping val="clustered"/>
        <c:varyColors val="0"/>
        <c:ser>
          <c:idx val="1"/>
          <c:order val="0"/>
          <c:tx>
            <c:strRef>
              <c:f>plots!$E$41</c:f>
              <c:strCache>
                <c:ptCount val="1"/>
                <c:pt idx="0">
                  <c:v>2011 Contribution</c:v>
                </c:pt>
              </c:strCache>
            </c:strRef>
          </c:tx>
          <c:invertIfNegative val="0"/>
          <c:cat>
            <c:strRef>
              <c:f>plots!$C$42:$C$51</c:f>
              <c:strCache>
                <c:ptCount val="10"/>
                <c:pt idx="0">
                  <c:v>EGU: Mexico</c:v>
                </c:pt>
                <c:pt idx="1">
                  <c:v>On-Road Mobile: Texas</c:v>
                </c:pt>
                <c:pt idx="2">
                  <c:v>Oil and Gas: Texas</c:v>
                </c:pt>
                <c:pt idx="3">
                  <c:v>On-Road Mobile: Mexico</c:v>
                </c:pt>
                <c:pt idx="4">
                  <c:v>Natural: Mexico</c:v>
                </c:pt>
                <c:pt idx="5">
                  <c:v>Non-EGU: Mexico</c:v>
                </c:pt>
                <c:pt idx="6">
                  <c:v>Natural: Texas</c:v>
                </c:pt>
                <c:pt idx="7">
                  <c:v>Non-road Mobile: Texas</c:v>
                </c:pt>
                <c:pt idx="8">
                  <c:v>Non-road Mobile: Mexico</c:v>
                </c:pt>
                <c:pt idx="9">
                  <c:v>Non-EGU: Texas</c:v>
                </c:pt>
              </c:strCache>
            </c:strRef>
          </c:cat>
          <c:val>
            <c:numRef>
              <c:f>plots!$E$42:$E$51</c:f>
              <c:numCache>
                <c:formatCode>General</c:formatCode>
                <c:ptCount val="10"/>
                <c:pt idx="0">
                  <c:v>1.6271557784935682</c:v>
                </c:pt>
                <c:pt idx="1">
                  <c:v>3.8037407808940666</c:v>
                </c:pt>
                <c:pt idx="2">
                  <c:v>1.2116286457939989</c:v>
                </c:pt>
                <c:pt idx="3">
                  <c:v>2.0005192758914894</c:v>
                </c:pt>
                <c:pt idx="4">
                  <c:v>0.83826514839607758</c:v>
                </c:pt>
                <c:pt idx="5">
                  <c:v>0.40150597131659016</c:v>
                </c:pt>
                <c:pt idx="6">
                  <c:v>0.90166082807764369</c:v>
                </c:pt>
                <c:pt idx="7">
                  <c:v>0.90867140876913333</c:v>
                </c:pt>
                <c:pt idx="8">
                  <c:v>0.54241864321542621</c:v>
                </c:pt>
                <c:pt idx="9">
                  <c:v>0.38748480993362511</c:v>
                </c:pt>
              </c:numCache>
            </c:numRef>
          </c:val>
        </c:ser>
        <c:ser>
          <c:idx val="0"/>
          <c:order val="1"/>
          <c:tx>
            <c:strRef>
              <c:f>plots!$D$41</c:f>
              <c:strCache>
                <c:ptCount val="1"/>
                <c:pt idx="0">
                  <c:v>2025 Contribution</c:v>
                </c:pt>
              </c:strCache>
            </c:strRef>
          </c:tx>
          <c:invertIfNegative val="0"/>
          <c:cat>
            <c:strRef>
              <c:f>plots!$C$42:$C$51</c:f>
              <c:strCache>
                <c:ptCount val="10"/>
                <c:pt idx="0">
                  <c:v>EGU: Mexico</c:v>
                </c:pt>
                <c:pt idx="1">
                  <c:v>On-Road Mobile: Texas</c:v>
                </c:pt>
                <c:pt idx="2">
                  <c:v>Oil and Gas: Texas</c:v>
                </c:pt>
                <c:pt idx="3">
                  <c:v>On-Road Mobile: Mexico</c:v>
                </c:pt>
                <c:pt idx="4">
                  <c:v>Natural: Mexico</c:v>
                </c:pt>
                <c:pt idx="5">
                  <c:v>Non-EGU: Mexico</c:v>
                </c:pt>
                <c:pt idx="6">
                  <c:v>Natural: Texas</c:v>
                </c:pt>
                <c:pt idx="7">
                  <c:v>Non-road Mobile: Texas</c:v>
                </c:pt>
                <c:pt idx="8">
                  <c:v>Non-road Mobile: Mexico</c:v>
                </c:pt>
                <c:pt idx="9">
                  <c:v>Non-EGU: Texas</c:v>
                </c:pt>
              </c:strCache>
            </c:strRef>
          </c:cat>
          <c:val>
            <c:numRef>
              <c:f>plots!$D$42:$D$51</c:f>
              <c:numCache>
                <c:formatCode>General</c:formatCode>
                <c:ptCount val="10"/>
                <c:pt idx="0">
                  <c:v>2.1</c:v>
                </c:pt>
                <c:pt idx="1">
                  <c:v>1.6</c:v>
                </c:pt>
                <c:pt idx="2">
                  <c:v>1.6</c:v>
                </c:pt>
                <c:pt idx="3">
                  <c:v>1</c:v>
                </c:pt>
                <c:pt idx="4">
                  <c:v>0.9</c:v>
                </c:pt>
                <c:pt idx="5">
                  <c:v>0.8</c:v>
                </c:pt>
                <c:pt idx="6">
                  <c:v>0.7</c:v>
                </c:pt>
                <c:pt idx="7">
                  <c:v>0.7</c:v>
                </c:pt>
                <c:pt idx="8">
                  <c:v>0.7</c:v>
                </c:pt>
                <c:pt idx="9">
                  <c:v>0.6</c:v>
                </c:pt>
              </c:numCache>
            </c:numRef>
          </c:val>
        </c:ser>
        <c:dLbls>
          <c:showLegendKey val="0"/>
          <c:showVal val="0"/>
          <c:showCatName val="0"/>
          <c:showSerName val="0"/>
          <c:showPercent val="0"/>
          <c:showBubbleSize val="0"/>
        </c:dLbls>
        <c:gapWidth val="150"/>
        <c:axId val="163948416"/>
        <c:axId val="163958784"/>
      </c:barChart>
      <c:catAx>
        <c:axId val="163948416"/>
        <c:scaling>
          <c:orientation val="minMax"/>
        </c:scaling>
        <c:delete val="0"/>
        <c:axPos val="b"/>
        <c:title>
          <c:tx>
            <c:strRef>
              <c:f>plots!$B$28</c:f>
              <c:strCache>
                <c:ptCount val="1"/>
                <c:pt idx="0">
                  <c:v>Tracer Name</c:v>
                </c:pt>
              </c:strCache>
            </c:strRef>
          </c:tx>
          <c:layout/>
          <c:overlay val="0"/>
          <c:txPr>
            <a:bodyPr/>
            <a:lstStyle/>
            <a:p>
              <a:pPr>
                <a:defRPr sz="1600"/>
              </a:pPr>
              <a:endParaRPr lang="en-US"/>
            </a:p>
          </c:txPr>
        </c:title>
        <c:numFmt formatCode="General" sourceLinked="1"/>
        <c:majorTickMark val="out"/>
        <c:minorTickMark val="none"/>
        <c:tickLblPos val="nextTo"/>
        <c:txPr>
          <a:bodyPr/>
          <a:lstStyle/>
          <a:p>
            <a:pPr>
              <a:defRPr sz="1600"/>
            </a:pPr>
            <a:endParaRPr lang="en-US"/>
          </a:p>
        </c:txPr>
        <c:crossAx val="163958784"/>
        <c:crosses val="autoZero"/>
        <c:auto val="1"/>
        <c:lblAlgn val="ctr"/>
        <c:lblOffset val="100"/>
        <c:noMultiLvlLbl val="0"/>
      </c:catAx>
      <c:valAx>
        <c:axId val="163958784"/>
        <c:scaling>
          <c:orientation val="minMax"/>
          <c:max val="6"/>
          <c:min val="0"/>
        </c:scaling>
        <c:delete val="0"/>
        <c:axPos val="l"/>
        <c:majorGridlines/>
        <c:title>
          <c:tx>
            <c:rich>
              <a:bodyPr rot="-5400000" vert="horz"/>
              <a:lstStyle/>
              <a:p>
                <a:pPr>
                  <a:defRPr sz="1600"/>
                </a:pPr>
                <a:r>
                  <a:rPr lang="en-US" sz="1600"/>
                  <a:t>O3 (ppb)</a:t>
                </a:r>
              </a:p>
            </c:rich>
          </c:tx>
          <c:layout/>
          <c:overlay val="0"/>
        </c:title>
        <c:numFmt formatCode="General" sourceLinked="1"/>
        <c:majorTickMark val="out"/>
        <c:minorTickMark val="none"/>
        <c:tickLblPos val="nextTo"/>
        <c:txPr>
          <a:bodyPr/>
          <a:lstStyle/>
          <a:p>
            <a:pPr>
              <a:defRPr sz="1600"/>
            </a:pPr>
            <a:endParaRPr lang="en-US"/>
          </a:p>
        </c:txPr>
        <c:crossAx val="163948416"/>
        <c:crosses val="autoZero"/>
        <c:crossBetween val="between"/>
        <c:majorUnit val="1"/>
        <c:minorUnit val="0.2"/>
      </c:valAx>
    </c:plotArea>
    <c:legend>
      <c:legendPos val="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Onroad Mobile Contribution to DV</a:t>
            </a:r>
          </a:p>
        </c:rich>
      </c:tx>
      <c:layout/>
      <c:overlay val="0"/>
    </c:title>
    <c:autoTitleDeleted val="0"/>
    <c:plotArea>
      <c:layout/>
      <c:barChart>
        <c:barDir val="col"/>
        <c:grouping val="clustered"/>
        <c:varyColors val="0"/>
        <c:ser>
          <c:idx val="0"/>
          <c:order val="0"/>
          <c:tx>
            <c:v>2011</c:v>
          </c:tx>
          <c:invertIfNegative val="0"/>
          <c:cat>
            <c:strRef>
              <c:f>All_contrib_summary!$B$4:$B$18</c:f>
              <c:strCache>
                <c:ptCount val="15"/>
                <c:pt idx="0">
                  <c:v>LA UNION</c:v>
                </c:pt>
                <c:pt idx="1">
                  <c:v>SUNLAND PARK</c:v>
                </c:pt>
                <c:pt idx="2">
                  <c:v>CHAPARRAL</c:v>
                </c:pt>
                <c:pt idx="3">
                  <c:v>DESERT VIEW</c:v>
                </c:pt>
                <c:pt idx="4">
                  <c:v>SANTA TERESA</c:v>
                </c:pt>
                <c:pt idx="5">
                  <c:v>SOLANO</c:v>
                </c:pt>
                <c:pt idx="6">
                  <c:v>CARLSBAD</c:v>
                </c:pt>
                <c:pt idx="7">
                  <c:v>HURLEY</c:v>
                </c:pt>
                <c:pt idx="8">
                  <c:v>DEMING</c:v>
                </c:pt>
                <c:pt idx="9">
                  <c:v> Ivanhoe</c:v>
                </c:pt>
                <c:pt idx="10">
                  <c:v>UTEP</c:v>
                </c:pt>
                <c:pt idx="11">
                  <c:v>Chamizal</c:v>
                </c:pt>
                <c:pt idx="12">
                  <c:v>Ascarate Park</c:v>
                </c:pt>
                <c:pt idx="13">
                  <c:v>Socorro Hueco</c:v>
                </c:pt>
                <c:pt idx="14">
                  <c:v> Skyline Park</c:v>
                </c:pt>
              </c:strCache>
            </c:strRef>
          </c:cat>
          <c:val>
            <c:numRef>
              <c:f>All_contrib_summary!$H$4:$H$18</c:f>
              <c:numCache>
                <c:formatCode>General</c:formatCode>
                <c:ptCount val="15"/>
                <c:pt idx="0">
                  <c:v>7.700366833766064</c:v>
                </c:pt>
                <c:pt idx="1">
                  <c:v>7.0141073807960774</c:v>
                </c:pt>
                <c:pt idx="2">
                  <c:v>7.3676657872113358</c:v>
                </c:pt>
                <c:pt idx="3">
                  <c:v>7.3648434847415496</c:v>
                </c:pt>
                <c:pt idx="4">
                  <c:v>7.2201970541599714</c:v>
                </c:pt>
                <c:pt idx="5">
                  <c:v>6.2580592394527015</c:v>
                </c:pt>
                <c:pt idx="6">
                  <c:v>1.8457459271834993</c:v>
                </c:pt>
                <c:pt idx="7">
                  <c:v>2.9396473106417877</c:v>
                </c:pt>
                <c:pt idx="8">
                  <c:v>4.2542960690847123</c:v>
                </c:pt>
                <c:pt idx="9">
                  <c:v>8.4319332847483022</c:v>
                </c:pt>
                <c:pt idx="10">
                  <c:v>7.9552028089476048</c:v>
                </c:pt>
                <c:pt idx="11">
                  <c:v>8.2780628854572758</c:v>
                </c:pt>
                <c:pt idx="12">
                  <c:v>8.5237544907456524</c:v>
                </c:pt>
                <c:pt idx="13">
                  <c:v>8.3747703074049529</c:v>
                </c:pt>
                <c:pt idx="14">
                  <c:v>9.1326365047842728</c:v>
                </c:pt>
              </c:numCache>
            </c:numRef>
          </c:val>
        </c:ser>
        <c:ser>
          <c:idx val="1"/>
          <c:order val="1"/>
          <c:tx>
            <c:v>2025</c:v>
          </c:tx>
          <c:invertIfNegative val="0"/>
          <c:val>
            <c:numRef>
              <c:f>All_contrib_summary!$H$22:$H$36</c:f>
              <c:numCache>
                <c:formatCode>General</c:formatCode>
                <c:ptCount val="15"/>
                <c:pt idx="0">
                  <c:v>3.5391867634567928</c:v>
                </c:pt>
                <c:pt idx="1">
                  <c:v>3.6541722828285499</c:v>
                </c:pt>
                <c:pt idx="2">
                  <c:v>3.4366120732776317</c:v>
                </c:pt>
                <c:pt idx="3">
                  <c:v>3.6792418755889011</c:v>
                </c:pt>
                <c:pt idx="4">
                  <c:v>3.2873595958001016</c:v>
                </c:pt>
                <c:pt idx="5">
                  <c:v>2.6162116526040351</c:v>
                </c:pt>
                <c:pt idx="6">
                  <c:v>0.69208692560388951</c:v>
                </c:pt>
                <c:pt idx="7">
                  <c:v>1.3027930711904014</c:v>
                </c:pt>
                <c:pt idx="8">
                  <c:v>1.7847700325688034</c:v>
                </c:pt>
                <c:pt idx="9">
                  <c:v>4.4478683533044299</c:v>
                </c:pt>
                <c:pt idx="10">
                  <c:v>4.1598694902808981</c:v>
                </c:pt>
                <c:pt idx="11">
                  <c:v>4.3187614195361963</c:v>
                </c:pt>
                <c:pt idx="12">
                  <c:v>4.4971811461031583</c:v>
                </c:pt>
                <c:pt idx="13">
                  <c:v>4.3662040004753333</c:v>
                </c:pt>
                <c:pt idx="14">
                  <c:v>4.4422848496434266</c:v>
                </c:pt>
              </c:numCache>
            </c:numRef>
          </c:val>
        </c:ser>
        <c:dLbls>
          <c:showLegendKey val="0"/>
          <c:showVal val="0"/>
          <c:showCatName val="0"/>
          <c:showSerName val="0"/>
          <c:showPercent val="0"/>
          <c:showBubbleSize val="0"/>
        </c:dLbls>
        <c:gapWidth val="150"/>
        <c:axId val="163617024"/>
        <c:axId val="208539648"/>
      </c:barChart>
      <c:catAx>
        <c:axId val="163617024"/>
        <c:scaling>
          <c:orientation val="minMax"/>
        </c:scaling>
        <c:delete val="0"/>
        <c:axPos val="b"/>
        <c:majorTickMark val="none"/>
        <c:minorTickMark val="none"/>
        <c:tickLblPos val="nextTo"/>
        <c:crossAx val="208539648"/>
        <c:crosses val="autoZero"/>
        <c:auto val="1"/>
        <c:lblAlgn val="ctr"/>
        <c:lblOffset val="100"/>
        <c:noMultiLvlLbl val="0"/>
      </c:catAx>
      <c:valAx>
        <c:axId val="208539648"/>
        <c:scaling>
          <c:orientation val="minMax"/>
        </c:scaling>
        <c:delete val="0"/>
        <c:axPos val="l"/>
        <c:majorGridlines/>
        <c:title>
          <c:tx>
            <c:rich>
              <a:bodyPr/>
              <a:lstStyle/>
              <a:p>
                <a:pPr>
                  <a:defRPr/>
                </a:pPr>
                <a:r>
                  <a:rPr lang="en-US"/>
                  <a:t>DV Contribution (ppb)</a:t>
                </a:r>
              </a:p>
            </c:rich>
          </c:tx>
          <c:layout/>
          <c:overlay val="0"/>
        </c:title>
        <c:numFmt formatCode="General" sourceLinked="1"/>
        <c:majorTickMark val="out"/>
        <c:minorTickMark val="none"/>
        <c:tickLblPos val="nextTo"/>
        <c:crossAx val="163617024"/>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DV Contribution of Anthropogenic</a:t>
            </a:r>
            <a:r>
              <a:rPr lang="en-US" sz="1400" baseline="0"/>
              <a:t> Emissions from Mexico</a:t>
            </a:r>
            <a:endParaRPr lang="en-US" sz="1400"/>
          </a:p>
        </c:rich>
      </c:tx>
      <c:layout/>
      <c:overlay val="0"/>
    </c:title>
    <c:autoTitleDeleted val="0"/>
    <c:plotArea>
      <c:layout/>
      <c:barChart>
        <c:barDir val="col"/>
        <c:grouping val="clustered"/>
        <c:varyColors val="0"/>
        <c:ser>
          <c:idx val="0"/>
          <c:order val="0"/>
          <c:tx>
            <c:v>2011</c:v>
          </c:tx>
          <c:invertIfNegative val="0"/>
          <c:cat>
            <c:strRef>
              <c:f>All_contrib_summary!$B$4:$B$18</c:f>
              <c:strCache>
                <c:ptCount val="15"/>
                <c:pt idx="0">
                  <c:v>LA UNION</c:v>
                </c:pt>
                <c:pt idx="1">
                  <c:v>SUNLAND PARK</c:v>
                </c:pt>
                <c:pt idx="2">
                  <c:v>CHAPARRAL</c:v>
                </c:pt>
                <c:pt idx="3">
                  <c:v>DESERT VIEW</c:v>
                </c:pt>
                <c:pt idx="4">
                  <c:v>SANTA TERESA</c:v>
                </c:pt>
                <c:pt idx="5">
                  <c:v>SOLANO</c:v>
                </c:pt>
                <c:pt idx="6">
                  <c:v>CARLSBAD</c:v>
                </c:pt>
                <c:pt idx="7">
                  <c:v>HURLEY</c:v>
                </c:pt>
                <c:pt idx="8">
                  <c:v>DEMING</c:v>
                </c:pt>
                <c:pt idx="9">
                  <c:v> Ivanhoe</c:v>
                </c:pt>
                <c:pt idx="10">
                  <c:v>UTEP</c:v>
                </c:pt>
                <c:pt idx="11">
                  <c:v>Chamizal</c:v>
                </c:pt>
                <c:pt idx="12">
                  <c:v>Ascarate Park</c:v>
                </c:pt>
                <c:pt idx="13">
                  <c:v>Socorro Hueco</c:v>
                </c:pt>
                <c:pt idx="14">
                  <c:v> Skyline Park</c:v>
                </c:pt>
              </c:strCache>
            </c:strRef>
          </c:cat>
          <c:val>
            <c:numRef>
              <c:f>All_contrib_summary!$M$41:$M$55</c:f>
              <c:numCache>
                <c:formatCode>0.00</c:formatCode>
                <c:ptCount val="15"/>
                <c:pt idx="0">
                  <c:v>5.3151253865077308</c:v>
                </c:pt>
                <c:pt idx="1">
                  <c:v>6.3328663470970774</c:v>
                </c:pt>
                <c:pt idx="2">
                  <c:v>4.3053812290635545</c:v>
                </c:pt>
                <c:pt idx="3">
                  <c:v>6.2144242839210175</c:v>
                </c:pt>
                <c:pt idx="4">
                  <c:v>4.6350954997513645</c:v>
                </c:pt>
                <c:pt idx="5">
                  <c:v>2.4596705737333266</c:v>
                </c:pt>
                <c:pt idx="6">
                  <c:v>2.131962742886377</c:v>
                </c:pt>
                <c:pt idx="7">
                  <c:v>1.3044162950380889</c:v>
                </c:pt>
                <c:pt idx="8">
                  <c:v>1.8718051053941089</c:v>
                </c:pt>
                <c:pt idx="9">
                  <c:v>5.7490090804820326</c:v>
                </c:pt>
                <c:pt idx="10">
                  <c:v>6.8330792468142754</c:v>
                </c:pt>
                <c:pt idx="11">
                  <c:v>6.4002824813696932</c:v>
                </c:pt>
                <c:pt idx="12">
                  <c:v>6.3815596719671444</c:v>
                </c:pt>
                <c:pt idx="13">
                  <c:v>5.7244872411548391</c:v>
                </c:pt>
                <c:pt idx="14">
                  <c:v>5.3089880483841778</c:v>
                </c:pt>
              </c:numCache>
            </c:numRef>
          </c:val>
        </c:ser>
        <c:ser>
          <c:idx val="1"/>
          <c:order val="1"/>
          <c:tx>
            <c:v>2025</c:v>
          </c:tx>
          <c:invertIfNegative val="0"/>
          <c:val>
            <c:numRef>
              <c:f>All_contrib_summary!$M$59:$M$73</c:f>
              <c:numCache>
                <c:formatCode>0.00</c:formatCode>
                <c:ptCount val="15"/>
                <c:pt idx="0">
                  <c:v>5.1597728343437579</c:v>
                </c:pt>
                <c:pt idx="1">
                  <c:v>6.6393131877580522</c:v>
                </c:pt>
                <c:pt idx="2">
                  <c:v>4.1088988709882441</c:v>
                </c:pt>
                <c:pt idx="3">
                  <c:v>6.5258960407929507</c:v>
                </c:pt>
                <c:pt idx="4">
                  <c:v>4.5627551906528856</c:v>
                </c:pt>
                <c:pt idx="5">
                  <c:v>2.4039891674936298</c:v>
                </c:pt>
                <c:pt idx="6">
                  <c:v>2.1559980915508472</c:v>
                </c:pt>
                <c:pt idx="7">
                  <c:v>1.3229446285886903</c:v>
                </c:pt>
                <c:pt idx="8">
                  <c:v>1.8485226617301191</c:v>
                </c:pt>
                <c:pt idx="9">
                  <c:v>5.4283693839324609</c:v>
                </c:pt>
                <c:pt idx="10">
                  <c:v>7.0324369494889352</c:v>
                </c:pt>
                <c:pt idx="11">
                  <c:v>6.3709416725228385</c:v>
                </c:pt>
                <c:pt idx="12">
                  <c:v>6.1022691966174456</c:v>
                </c:pt>
                <c:pt idx="13">
                  <c:v>5.3569671904786631</c:v>
                </c:pt>
                <c:pt idx="14">
                  <c:v>5.0937040109126412</c:v>
                </c:pt>
              </c:numCache>
            </c:numRef>
          </c:val>
        </c:ser>
        <c:dLbls>
          <c:showLegendKey val="0"/>
          <c:showVal val="0"/>
          <c:showCatName val="0"/>
          <c:showSerName val="0"/>
          <c:showPercent val="0"/>
          <c:showBubbleSize val="0"/>
        </c:dLbls>
        <c:gapWidth val="150"/>
        <c:axId val="208561280"/>
        <c:axId val="208562816"/>
      </c:barChart>
      <c:catAx>
        <c:axId val="208561280"/>
        <c:scaling>
          <c:orientation val="minMax"/>
        </c:scaling>
        <c:delete val="0"/>
        <c:axPos val="b"/>
        <c:majorTickMark val="none"/>
        <c:minorTickMark val="none"/>
        <c:tickLblPos val="nextTo"/>
        <c:crossAx val="208562816"/>
        <c:crosses val="autoZero"/>
        <c:auto val="1"/>
        <c:lblAlgn val="ctr"/>
        <c:lblOffset val="100"/>
        <c:noMultiLvlLbl val="0"/>
      </c:catAx>
      <c:valAx>
        <c:axId val="208562816"/>
        <c:scaling>
          <c:orientation val="minMax"/>
        </c:scaling>
        <c:delete val="0"/>
        <c:axPos val="l"/>
        <c:majorGridlines/>
        <c:title>
          <c:tx>
            <c:rich>
              <a:bodyPr/>
              <a:lstStyle/>
              <a:p>
                <a:pPr>
                  <a:defRPr sz="1200"/>
                </a:pPr>
                <a:r>
                  <a:rPr lang="en-US" sz="1200"/>
                  <a:t>DV Contribution (ppb)</a:t>
                </a:r>
              </a:p>
            </c:rich>
          </c:tx>
          <c:layout/>
          <c:overlay val="0"/>
        </c:title>
        <c:numFmt formatCode="0" sourceLinked="0"/>
        <c:majorTickMark val="out"/>
        <c:minorTickMark val="none"/>
        <c:tickLblPos val="nextTo"/>
        <c:crossAx val="208561280"/>
        <c:crosses val="autoZero"/>
        <c:crossBetween val="between"/>
      </c:valAx>
    </c:plotArea>
    <c:legend>
      <c:legendPos val="r"/>
      <c:layout/>
      <c:overlay val="0"/>
      <c:txPr>
        <a:bodyPr/>
        <a:lstStyle/>
        <a:p>
          <a:pPr>
            <a:defRPr b="1"/>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2011 DV Contributions from NM Anthro Emissions</a:t>
            </a:r>
          </a:p>
        </c:rich>
      </c:tx>
      <c:layout/>
      <c:overlay val="0"/>
    </c:title>
    <c:autoTitleDeleted val="0"/>
    <c:plotArea>
      <c:layout/>
      <c:barChart>
        <c:barDir val="col"/>
        <c:grouping val="clustered"/>
        <c:varyColors val="0"/>
        <c:ser>
          <c:idx val="0"/>
          <c:order val="0"/>
          <c:tx>
            <c:strRef>
              <c:f>All_contrib_summary!$B$96</c:f>
              <c:strCache>
                <c:ptCount val="1"/>
                <c:pt idx="0">
                  <c:v>LA UNION</c:v>
                </c:pt>
              </c:strCache>
            </c:strRef>
          </c:tx>
          <c:invertIfNegative val="0"/>
          <c:cat>
            <c:strRef>
              <c:f>All_contrib_summary!$F$95:$K$95</c:f>
              <c:strCache>
                <c:ptCount val="6"/>
                <c:pt idx="0">
                  <c:v>On-Road Mobile</c:v>
                </c:pt>
                <c:pt idx="1">
                  <c:v>Non-Road Mobile</c:v>
                </c:pt>
                <c:pt idx="2">
                  <c:v>Oil and Gas</c:v>
                </c:pt>
                <c:pt idx="3">
                  <c:v>EGU Point</c:v>
                </c:pt>
                <c:pt idx="4">
                  <c:v>Non-EGU Point</c:v>
                </c:pt>
                <c:pt idx="5">
                  <c:v>Remainder Anthro</c:v>
                </c:pt>
              </c:strCache>
            </c:strRef>
          </c:cat>
          <c:val>
            <c:numRef>
              <c:f>All_contrib_summary!$F$78:$J$78</c:f>
              <c:numCache>
                <c:formatCode>General</c:formatCode>
                <c:ptCount val="5"/>
                <c:pt idx="0">
                  <c:v>1.0306512228825013</c:v>
                </c:pt>
                <c:pt idx="1">
                  <c:v>0.32413945879627043</c:v>
                </c:pt>
                <c:pt idx="2">
                  <c:v>0.24636202526939555</c:v>
                </c:pt>
                <c:pt idx="3">
                  <c:v>3.2474083070507448E-2</c:v>
                </c:pt>
                <c:pt idx="4">
                  <c:v>1.3029724688785172E-2</c:v>
                </c:pt>
              </c:numCache>
            </c:numRef>
          </c:val>
        </c:ser>
        <c:ser>
          <c:idx val="1"/>
          <c:order val="1"/>
          <c:tx>
            <c:strRef>
              <c:f>All_contrib_summary!$B$97</c:f>
              <c:strCache>
                <c:ptCount val="1"/>
                <c:pt idx="0">
                  <c:v>SUNLAND PARK</c:v>
                </c:pt>
              </c:strCache>
            </c:strRef>
          </c:tx>
          <c:invertIfNegative val="0"/>
          <c:val>
            <c:numRef>
              <c:f>All_contrib_summary!$F$79:$J$79</c:f>
              <c:numCache>
                <c:formatCode>General</c:formatCode>
                <c:ptCount val="5"/>
                <c:pt idx="0">
                  <c:v>0.93524103670343917</c:v>
                </c:pt>
                <c:pt idx="1">
                  <c:v>0.30730493460140235</c:v>
                </c:pt>
                <c:pt idx="2">
                  <c:v>0.22714714272624373</c:v>
                </c:pt>
                <c:pt idx="3">
                  <c:v>0.12694990288228478</c:v>
                </c:pt>
                <c:pt idx="4">
                  <c:v>2.0139645208633372E-2</c:v>
                </c:pt>
              </c:numCache>
            </c:numRef>
          </c:val>
        </c:ser>
        <c:ser>
          <c:idx val="2"/>
          <c:order val="2"/>
          <c:tx>
            <c:strRef>
              <c:f>All_contrib_summary!$B$98</c:f>
              <c:strCache>
                <c:ptCount val="1"/>
                <c:pt idx="0">
                  <c:v>CHAPARRAL</c:v>
                </c:pt>
              </c:strCache>
            </c:strRef>
          </c:tx>
          <c:invertIfNegative val="0"/>
          <c:val>
            <c:numRef>
              <c:f>All_contrib_summary!$F$80:$J$80</c:f>
              <c:numCache>
                <c:formatCode>General</c:formatCode>
                <c:ptCount val="5"/>
                <c:pt idx="0">
                  <c:v>1.1001024219606876</c:v>
                </c:pt>
                <c:pt idx="1">
                  <c:v>0.32602688761746523</c:v>
                </c:pt>
                <c:pt idx="2">
                  <c:v>0.19015726439985492</c:v>
                </c:pt>
                <c:pt idx="3">
                  <c:v>4.0841164438384744E-2</c:v>
                </c:pt>
                <c:pt idx="4">
                  <c:v>1.364717042659618E-2</c:v>
                </c:pt>
              </c:numCache>
            </c:numRef>
          </c:val>
        </c:ser>
        <c:ser>
          <c:idx val="3"/>
          <c:order val="3"/>
          <c:tx>
            <c:strRef>
              <c:f>All_contrib_summary!$B$99</c:f>
              <c:strCache>
                <c:ptCount val="1"/>
                <c:pt idx="0">
                  <c:v>DESERT VIEW</c:v>
                </c:pt>
              </c:strCache>
            </c:strRef>
          </c:tx>
          <c:invertIfNegative val="0"/>
          <c:val>
            <c:numRef>
              <c:f>All_contrib_summary!$F$81:$J$81</c:f>
              <c:numCache>
                <c:formatCode>General</c:formatCode>
                <c:ptCount val="5"/>
                <c:pt idx="0">
                  <c:v>1.1008054347473846</c:v>
                </c:pt>
                <c:pt idx="1">
                  <c:v>0.35519855509203985</c:v>
                </c:pt>
                <c:pt idx="2">
                  <c:v>0.2130591164027141</c:v>
                </c:pt>
                <c:pt idx="3">
                  <c:v>0.13503746814257428</c:v>
                </c:pt>
                <c:pt idx="4">
                  <c:v>1.4303968847700117E-2</c:v>
                </c:pt>
              </c:numCache>
            </c:numRef>
          </c:val>
        </c:ser>
        <c:ser>
          <c:idx val="4"/>
          <c:order val="4"/>
          <c:tx>
            <c:strRef>
              <c:f>All_contrib_summary!$B$100</c:f>
              <c:strCache>
                <c:ptCount val="1"/>
                <c:pt idx="0">
                  <c:v>SANTA TERESA</c:v>
                </c:pt>
              </c:strCache>
            </c:strRef>
          </c:tx>
          <c:invertIfNegative val="0"/>
          <c:val>
            <c:numRef>
              <c:f>All_contrib_summary!$F$82:$J$82</c:f>
              <c:numCache>
                <c:formatCode>General</c:formatCode>
                <c:ptCount val="5"/>
                <c:pt idx="0">
                  <c:v>1.2538924322483858</c:v>
                </c:pt>
                <c:pt idx="1">
                  <c:v>0.38748480993362511</c:v>
                </c:pt>
                <c:pt idx="2">
                  <c:v>0.21842966411610601</c:v>
                </c:pt>
                <c:pt idx="3">
                  <c:v>0.13390209120734645</c:v>
                </c:pt>
                <c:pt idx="4">
                  <c:v>2.1131893227179215E-2</c:v>
                </c:pt>
              </c:numCache>
            </c:numRef>
          </c:val>
        </c:ser>
        <c:ser>
          <c:idx val="5"/>
          <c:order val="5"/>
          <c:tx>
            <c:strRef>
              <c:f>All_contrib_summary!$B$101</c:f>
              <c:strCache>
                <c:ptCount val="1"/>
                <c:pt idx="0">
                  <c:v>SOLANO</c:v>
                </c:pt>
              </c:strCache>
            </c:strRef>
          </c:tx>
          <c:invertIfNegative val="0"/>
          <c:val>
            <c:numRef>
              <c:f>All_contrib_summary!$F$83:$J$83</c:f>
              <c:numCache>
                <c:formatCode>General</c:formatCode>
                <c:ptCount val="5"/>
                <c:pt idx="0">
                  <c:v>4.0110503944679659</c:v>
                </c:pt>
                <c:pt idx="1">
                  <c:v>0.9077903724605455</c:v>
                </c:pt>
                <c:pt idx="2">
                  <c:v>0.25759590108184005</c:v>
                </c:pt>
                <c:pt idx="3">
                  <c:v>6.4449013324277757E-2</c:v>
                </c:pt>
                <c:pt idx="4">
                  <c:v>7.0853884213647064E-2</c:v>
                </c:pt>
              </c:numCache>
            </c:numRef>
          </c:val>
        </c:ser>
        <c:ser>
          <c:idx val="6"/>
          <c:order val="6"/>
          <c:tx>
            <c:strRef>
              <c:f>All_contrib_summary!$B$84</c:f>
              <c:strCache>
                <c:ptCount val="1"/>
                <c:pt idx="0">
                  <c:v>CARLSBAD</c:v>
                </c:pt>
              </c:strCache>
            </c:strRef>
          </c:tx>
          <c:invertIfNegative val="0"/>
          <c:val>
            <c:numRef>
              <c:f>All_contrib_summary!$F$84:$K$84</c:f>
              <c:numCache>
                <c:formatCode>General</c:formatCode>
                <c:ptCount val="6"/>
                <c:pt idx="0">
                  <c:v>0.70108303196622745</c:v>
                </c:pt>
                <c:pt idx="1">
                  <c:v>0.18607669453586151</c:v>
                </c:pt>
                <c:pt idx="2">
                  <c:v>2.1029425445073739</c:v>
                </c:pt>
                <c:pt idx="3">
                  <c:v>0.20753529192879464</c:v>
                </c:pt>
                <c:pt idx="4">
                  <c:v>3.5764328988217034E-2</c:v>
                </c:pt>
                <c:pt idx="5">
                  <c:v>3.5764328988217034E-2</c:v>
                </c:pt>
              </c:numCache>
            </c:numRef>
          </c:val>
        </c:ser>
        <c:ser>
          <c:idx val="7"/>
          <c:order val="7"/>
          <c:tx>
            <c:strRef>
              <c:f>All_contrib_summary!$B$85</c:f>
              <c:strCache>
                <c:ptCount val="1"/>
                <c:pt idx="0">
                  <c:v>HURLEY</c:v>
                </c:pt>
              </c:strCache>
            </c:strRef>
          </c:tx>
          <c:invertIfNegative val="0"/>
          <c:val>
            <c:numRef>
              <c:f>All_contrib_summary!$F$85:$K$85</c:f>
              <c:numCache>
                <c:formatCode>General</c:formatCode>
                <c:ptCount val="6"/>
                <c:pt idx="0">
                  <c:v>1.3374162856363849</c:v>
                </c:pt>
                <c:pt idx="1">
                  <c:v>0.52962947873803634</c:v>
                </c:pt>
                <c:pt idx="2">
                  <c:v>0.2780554763374673</c:v>
                </c:pt>
                <c:pt idx="3">
                  <c:v>8.6064790294937243E-2</c:v>
                </c:pt>
                <c:pt idx="4">
                  <c:v>1.9861105452670034E-2</c:v>
                </c:pt>
                <c:pt idx="5">
                  <c:v>3.3101842421126369E-2</c:v>
                </c:pt>
              </c:numCache>
            </c:numRef>
          </c:val>
        </c:ser>
        <c:ser>
          <c:idx val="8"/>
          <c:order val="8"/>
          <c:tx>
            <c:strRef>
              <c:f>All_contrib_summary!$B$86</c:f>
              <c:strCache>
                <c:ptCount val="1"/>
                <c:pt idx="0">
                  <c:v>DEMING</c:v>
                </c:pt>
              </c:strCache>
            </c:strRef>
          </c:tx>
          <c:invertIfNegative val="0"/>
          <c:val>
            <c:numRef>
              <c:f>All_contrib_summary!$F$86:$K$86</c:f>
              <c:numCache>
                <c:formatCode>General</c:formatCode>
                <c:ptCount val="6"/>
                <c:pt idx="0">
                  <c:v>2.0376740877592194</c:v>
                </c:pt>
                <c:pt idx="1">
                  <c:v>0.42805552783955425</c:v>
                </c:pt>
                <c:pt idx="2">
                  <c:v>0.33853088760215128</c:v>
                </c:pt>
                <c:pt idx="3">
                  <c:v>0.1214615164262864</c:v>
                </c:pt>
                <c:pt idx="4">
                  <c:v>2.5549500951103851E-2</c:v>
                </c:pt>
                <c:pt idx="5">
                  <c:v>4.4813013572967637E-2</c:v>
                </c:pt>
              </c:numCache>
            </c:numRef>
          </c:val>
        </c:ser>
        <c:dLbls>
          <c:showLegendKey val="0"/>
          <c:showVal val="0"/>
          <c:showCatName val="0"/>
          <c:showSerName val="0"/>
          <c:showPercent val="0"/>
          <c:showBubbleSize val="0"/>
        </c:dLbls>
        <c:gapWidth val="150"/>
        <c:axId val="208700928"/>
        <c:axId val="208702464"/>
      </c:barChart>
      <c:catAx>
        <c:axId val="208700928"/>
        <c:scaling>
          <c:orientation val="minMax"/>
        </c:scaling>
        <c:delete val="0"/>
        <c:axPos val="b"/>
        <c:majorTickMark val="none"/>
        <c:minorTickMark val="none"/>
        <c:tickLblPos val="nextTo"/>
        <c:crossAx val="208702464"/>
        <c:crosses val="autoZero"/>
        <c:auto val="1"/>
        <c:lblAlgn val="ctr"/>
        <c:lblOffset val="100"/>
        <c:noMultiLvlLbl val="0"/>
      </c:catAx>
      <c:valAx>
        <c:axId val="208702464"/>
        <c:scaling>
          <c:orientation val="minMax"/>
        </c:scaling>
        <c:delete val="0"/>
        <c:axPos val="l"/>
        <c:majorGridlines/>
        <c:title>
          <c:tx>
            <c:rich>
              <a:bodyPr/>
              <a:lstStyle/>
              <a:p>
                <a:pPr>
                  <a:defRPr/>
                </a:pPr>
                <a:r>
                  <a:rPr lang="en-US"/>
                  <a:t>Contribution to DV (ppb)</a:t>
                </a:r>
              </a:p>
            </c:rich>
          </c:tx>
          <c:layout/>
          <c:overlay val="0"/>
        </c:title>
        <c:numFmt formatCode="General" sourceLinked="1"/>
        <c:majorTickMark val="out"/>
        <c:minorTickMark val="none"/>
        <c:tickLblPos val="nextTo"/>
        <c:crossAx val="20870092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8</xdr:col>
      <xdr:colOff>14286</xdr:colOff>
      <xdr:row>4</xdr:row>
      <xdr:rowOff>28574</xdr:rowOff>
    </xdr:from>
    <xdr:to>
      <xdr:col>22</xdr:col>
      <xdr:colOff>408214</xdr:colOff>
      <xdr:row>23</xdr:row>
      <xdr:rowOff>68036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98313</xdr:colOff>
      <xdr:row>25</xdr:row>
      <xdr:rowOff>147637</xdr:rowOff>
    </xdr:from>
    <xdr:to>
      <xdr:col>22</xdr:col>
      <xdr:colOff>435429</xdr:colOff>
      <xdr:row>44</xdr:row>
      <xdr:rowOff>163286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23810</xdr:colOff>
      <xdr:row>46</xdr:row>
      <xdr:rowOff>61910</xdr:rowOff>
    </xdr:from>
    <xdr:to>
      <xdr:col>24</xdr:col>
      <xdr:colOff>142874</xdr:colOff>
      <xdr:row>74</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190501</xdr:colOff>
      <xdr:row>4</xdr:row>
      <xdr:rowOff>17177</xdr:rowOff>
    </xdr:from>
    <xdr:to>
      <xdr:col>35</xdr:col>
      <xdr:colOff>559594</xdr:colOff>
      <xdr:row>23</xdr:row>
      <xdr:rowOff>49325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256833</xdr:colOff>
      <xdr:row>25</xdr:row>
      <xdr:rowOff>176892</xdr:rowOff>
    </xdr:from>
    <xdr:to>
      <xdr:col>36</xdr:col>
      <xdr:colOff>95250</xdr:colOff>
      <xdr:row>44</xdr:row>
      <xdr:rowOff>136072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24</xdr:col>
      <xdr:colOff>435427</xdr:colOff>
      <xdr:row>46</xdr:row>
      <xdr:rowOff>51028</xdr:rowOff>
    </xdr:from>
    <xdr:to>
      <xdr:col>45</xdr:col>
      <xdr:colOff>165616</xdr:colOff>
      <xdr:row>74</xdr:row>
      <xdr:rowOff>66335</xdr:rowOff>
    </xdr:to>
    <xdr:pic>
      <xdr:nvPicPr>
        <xdr:cNvPr id="6" name="Picture 5"/>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2446" t="17720" r="14367" b="21949"/>
        <a:stretch/>
      </xdr:blipFill>
      <xdr:spPr>
        <a:xfrm>
          <a:off x="26343427" y="12695466"/>
          <a:ext cx="12731814" cy="6694714"/>
        </a:xfrm>
        <a:prstGeom prst="rect">
          <a:avLst/>
        </a:prstGeom>
      </xdr:spPr>
    </xdr:pic>
    <xdr:clientData/>
  </xdr:twoCellAnchor>
  <xdr:twoCellAnchor>
    <xdr:from>
      <xdr:col>8</xdr:col>
      <xdr:colOff>0</xdr:colOff>
      <xdr:row>76</xdr:row>
      <xdr:rowOff>0</xdr:rowOff>
    </xdr:from>
    <xdr:to>
      <xdr:col>24</xdr:col>
      <xdr:colOff>119064</xdr:colOff>
      <xdr:row>106</xdr:row>
      <xdr:rowOff>183019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22</xdr:row>
      <xdr:rowOff>0</xdr:rowOff>
    </xdr:from>
    <xdr:to>
      <xdr:col>7</xdr:col>
      <xdr:colOff>317407</xdr:colOff>
      <xdr:row>45</xdr:row>
      <xdr:rowOff>47625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446" t="17720" r="14367" b="21949"/>
        <a:stretch/>
      </xdr:blipFill>
      <xdr:spPr>
        <a:xfrm>
          <a:off x="2286000" y="5524500"/>
          <a:ext cx="8423182" cy="442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1028700</xdr:colOff>
      <xdr:row>0</xdr:row>
      <xdr:rowOff>156210</xdr:rowOff>
    </xdr:from>
    <xdr:to>
      <xdr:col>13</xdr:col>
      <xdr:colOff>853440</xdr:colOff>
      <xdr:row>18</xdr:row>
      <xdr:rowOff>99060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1043940</xdr:colOff>
      <xdr:row>19</xdr:row>
      <xdr:rowOff>121920</xdr:rowOff>
    </xdr:from>
    <xdr:to>
      <xdr:col>13</xdr:col>
      <xdr:colOff>868680</xdr:colOff>
      <xdr:row>37</xdr:row>
      <xdr:rowOff>179070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923925</xdr:colOff>
      <xdr:row>19</xdr:row>
      <xdr:rowOff>133350</xdr:rowOff>
    </xdr:from>
    <xdr:to>
      <xdr:col>17</xdr:col>
      <xdr:colOff>910590</xdr:colOff>
      <xdr:row>38</xdr:row>
      <xdr:rowOff>120015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659130</xdr:colOff>
      <xdr:row>0</xdr:row>
      <xdr:rowOff>129540</xdr:rowOff>
    </xdr:from>
    <xdr:to>
      <xdr:col>17</xdr:col>
      <xdr:colOff>605790</xdr:colOff>
      <xdr:row>19</xdr:row>
      <xdr:rowOff>83820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304800</xdr:colOff>
      <xdr:row>22</xdr:row>
      <xdr:rowOff>125730</xdr:rowOff>
    </xdr:from>
    <xdr:to>
      <xdr:col>32</xdr:col>
      <xdr:colOff>15240</xdr:colOff>
      <xdr:row>39</xdr:row>
      <xdr:rowOff>15240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114300</xdr:colOff>
      <xdr:row>28</xdr:row>
      <xdr:rowOff>60960</xdr:rowOff>
    </xdr:from>
    <xdr:to>
      <xdr:col>19</xdr:col>
      <xdr:colOff>220980</xdr:colOff>
      <xdr:row>44</xdr:row>
      <xdr:rowOff>140970</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800099</xdr:colOff>
      <xdr:row>1</xdr:row>
      <xdr:rowOff>28575</xdr:rowOff>
    </xdr:from>
    <xdr:to>
      <xdr:col>23</xdr:col>
      <xdr:colOff>66674</xdr:colOff>
      <xdr:row>23</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2219324</xdr:colOff>
      <xdr:row>5</xdr:row>
      <xdr:rowOff>180975</xdr:rowOff>
    </xdr:from>
    <xdr:to>
      <xdr:col>18</xdr:col>
      <xdr:colOff>438149</xdr:colOff>
      <xdr:row>31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3"/>
  <sheetViews>
    <sheetView topLeftCell="A58" zoomScale="70" zoomScaleNormal="70" workbookViewId="0">
      <selection activeCell="F96" sqref="F96"/>
    </sheetView>
  </sheetViews>
  <sheetFormatPr defaultRowHeight="15" x14ac:dyDescent="0.25"/>
  <cols>
    <col min="2" max="2" width="36" bestFit="1" customWidth="1"/>
    <col min="3" max="3" width="55.42578125" bestFit="1" customWidth="1"/>
    <col min="4" max="4" width="29.140625" bestFit="1" customWidth="1"/>
    <col min="5" max="5" width="29.28515625" bestFit="1" customWidth="1"/>
    <col min="6" max="6" width="34.28515625" customWidth="1"/>
    <col min="7" max="7" width="26.5703125" customWidth="1"/>
    <col min="8" max="8" width="12.28515625" bestFit="1" customWidth="1"/>
    <col min="20" max="20" width="10" bestFit="1" customWidth="1"/>
    <col min="21" max="21" width="12" bestFit="1" customWidth="1"/>
  </cols>
  <sheetData>
    <row r="1" spans="2:16" ht="27" thickBot="1" x14ac:dyDescent="0.45">
      <c r="C1" s="48" t="s">
        <v>147</v>
      </c>
      <c r="P1" s="49" t="s">
        <v>163</v>
      </c>
    </row>
    <row r="2" spans="2:16" ht="24.75" thickTop="1" thickBot="1" x14ac:dyDescent="0.4">
      <c r="B2" s="15"/>
      <c r="C2" s="47" t="s">
        <v>176</v>
      </c>
      <c r="P2" s="16" t="s">
        <v>209</v>
      </c>
    </row>
    <row r="3" spans="2:16" ht="21.75" thickTop="1" x14ac:dyDescent="0.35">
      <c r="B3" s="18" t="s">
        <v>65</v>
      </c>
      <c r="C3" s="19">
        <f>VLOOKUP(C2,lookup!Q2:R18,2,FALSE)</f>
        <v>350130022</v>
      </c>
      <c r="P3" s="16" t="str">
        <f>"Site: "&amp;C5&amp;", "&amp;C4&amp;" ("&amp;C3&amp;")"</f>
        <v>Site: Dona Ana, New Mexico (350130022)</v>
      </c>
    </row>
    <row r="4" spans="2:16" ht="18.75" x14ac:dyDescent="0.3">
      <c r="B4" s="20" t="s">
        <v>64</v>
      </c>
      <c r="C4" s="19" t="str">
        <f>VLOOKUP(C3,lookup!$L$2:$N$18,2,TRUE)</f>
        <v>New Mexico</v>
      </c>
      <c r="E4" s="3"/>
    </row>
    <row r="5" spans="2:16" ht="18.75" x14ac:dyDescent="0.3">
      <c r="B5" s="20" t="s">
        <v>63</v>
      </c>
      <c r="C5" s="21" t="str">
        <f>VLOOKUP(C3,lookup!$L$2:$N$18,3,TRUE)</f>
        <v>Dona Ana</v>
      </c>
    </row>
    <row r="6" spans="2:16" ht="30.75" customHeight="1" x14ac:dyDescent="0.25"/>
    <row r="7" spans="2:16" ht="23.25" x14ac:dyDescent="0.35">
      <c r="B7" s="52" t="s">
        <v>66</v>
      </c>
      <c r="C7" s="22"/>
      <c r="D7" s="22"/>
      <c r="E7" s="22"/>
    </row>
    <row r="8" spans="2:16" ht="18" x14ac:dyDescent="0.3">
      <c r="B8" s="43" t="s">
        <v>71</v>
      </c>
      <c r="C8" s="43" t="s">
        <v>120</v>
      </c>
      <c r="D8" s="43" t="s">
        <v>155</v>
      </c>
      <c r="E8" s="43" t="s">
        <v>158</v>
      </c>
      <c r="F8" s="43" t="s">
        <v>292</v>
      </c>
    </row>
    <row r="9" spans="2:16" ht="18" x14ac:dyDescent="0.35">
      <c r="B9" s="23" t="s">
        <v>67</v>
      </c>
      <c r="C9" s="24" t="str">
        <f>VLOOKUP($B9,lookup!$A$12:$B$15,2,FALSE)</f>
        <v>New Mexico</v>
      </c>
      <c r="D9" s="25">
        <f t="shared" ref="D9:E12" si="0">D60+D64+D68+D72+D76+D80+D84+D88</f>
        <v>2.5855021590194629</v>
      </c>
      <c r="E9" s="25">
        <f t="shared" si="0"/>
        <v>1.7144959343175097</v>
      </c>
      <c r="F9" s="75">
        <f>F11-(D11-F13)</f>
        <v>65.664904500248639</v>
      </c>
      <c r="G9" s="118"/>
    </row>
    <row r="10" spans="2:16" ht="18" x14ac:dyDescent="0.35">
      <c r="B10" s="26" t="s">
        <v>68</v>
      </c>
      <c r="C10" s="27" t="str">
        <f>VLOOKUP($B10,lookup!$A$12:$B$15,2,FALSE)</f>
        <v>Texas</v>
      </c>
      <c r="D10" s="28">
        <f t="shared" si="0"/>
        <v>7.8261115282096734</v>
      </c>
      <c r="E10" s="28">
        <f t="shared" si="0"/>
        <v>5.5545840372621704</v>
      </c>
      <c r="F10" s="43" t="s">
        <v>214</v>
      </c>
    </row>
    <row r="11" spans="2:16" ht="18" x14ac:dyDescent="0.35">
      <c r="B11" s="26" t="s">
        <v>69</v>
      </c>
      <c r="C11" s="27" t="str">
        <f>VLOOKUP($B11,lookup!$A$12:$B$15,2,FALSE)</f>
        <v>Mexico</v>
      </c>
      <c r="D11" s="28">
        <f>D62+D66+D70+D74+D78+D82+D86+D90</f>
        <v>5.4804713799916556</v>
      </c>
      <c r="E11" s="28">
        <f t="shared" si="0"/>
        <v>5.4129517644272624</v>
      </c>
      <c r="F11" s="75">
        <f>D93</f>
        <v>70.3</v>
      </c>
    </row>
    <row r="12" spans="2:16" ht="18.75" x14ac:dyDescent="0.3">
      <c r="B12" s="26" t="s">
        <v>70</v>
      </c>
      <c r="C12" s="27" t="str">
        <f>VLOOKUP($B12,lookup!$A$12:$B$15,2,FALSE)</f>
        <v>Other 12km</v>
      </c>
      <c r="D12" s="28">
        <f t="shared" si="0"/>
        <v>0.52859778413791025</v>
      </c>
      <c r="E12" s="28">
        <f t="shared" si="0"/>
        <v>0.33997789531852862</v>
      </c>
      <c r="F12" s="115" t="s">
        <v>293</v>
      </c>
      <c r="G12" s="115" t="s">
        <v>294</v>
      </c>
      <c r="H12" t="s">
        <v>203</v>
      </c>
    </row>
    <row r="13" spans="2:16" ht="18.75" x14ac:dyDescent="0.3">
      <c r="B13" s="26" t="s">
        <v>165</v>
      </c>
      <c r="C13" s="27" t="s">
        <v>166</v>
      </c>
      <c r="D13" s="33">
        <f>D92</f>
        <v>53.879317148641292</v>
      </c>
      <c r="E13" s="33">
        <f>E92</f>
        <v>50.777990368674523</v>
      </c>
      <c r="F13" s="116">
        <f>D62+D66</f>
        <v>0.84537588024029175</v>
      </c>
      <c r="G13" s="116">
        <f>SUM(D70,D74,D78,D82,D86,D90)</f>
        <v>4.6350954997513645</v>
      </c>
      <c r="H13" s="117">
        <f>SUM(F13:G13)</f>
        <v>5.4804713799916565</v>
      </c>
    </row>
    <row r="14" spans="2:16" ht="35.25" customHeight="1" x14ac:dyDescent="0.3">
      <c r="D14" s="54"/>
      <c r="E14" s="54"/>
    </row>
    <row r="15" spans="2:16" ht="23.25" x14ac:dyDescent="0.35">
      <c r="B15" s="51" t="s">
        <v>110</v>
      </c>
      <c r="C15" s="22"/>
      <c r="D15" s="22"/>
      <c r="E15" s="22"/>
    </row>
    <row r="16" spans="2:16" ht="18.75" x14ac:dyDescent="0.25">
      <c r="B16" s="44" t="s">
        <v>111</v>
      </c>
      <c r="C16" s="44" t="s">
        <v>121</v>
      </c>
      <c r="D16" s="44" t="s">
        <v>155</v>
      </c>
      <c r="E16" s="44" t="s">
        <v>158</v>
      </c>
    </row>
    <row r="17" spans="2:7" ht="18.75" x14ac:dyDescent="0.3">
      <c r="B17" s="29" t="s">
        <v>122</v>
      </c>
      <c r="C17" s="30" t="s">
        <v>149</v>
      </c>
      <c r="D17" s="31">
        <f>SUM(D60:D63)</f>
        <v>2.2894553515333618</v>
      </c>
      <c r="E17" s="31">
        <f>SUM(E60:E63)</f>
        <v>2.0687780847872426</v>
      </c>
    </row>
    <row r="18" spans="2:7" ht="18.75" x14ac:dyDescent="0.3">
      <c r="B18" s="29" t="s">
        <v>123</v>
      </c>
      <c r="C18" s="32" t="s">
        <v>150</v>
      </c>
      <c r="D18" s="33">
        <f>SUM(D64:D67)</f>
        <v>0.11988092982435297</v>
      </c>
      <c r="E18" s="33">
        <f>SUM(E64:E67)</f>
        <v>7.0816136417458736E-2</v>
      </c>
    </row>
    <row r="19" spans="2:7" ht="18.75" x14ac:dyDescent="0.3">
      <c r="B19" s="29" t="s">
        <v>124</v>
      </c>
      <c r="C19" s="32" t="s">
        <v>6</v>
      </c>
      <c r="D19" s="33">
        <f>SUM(D68:D71)</f>
        <v>7.2201970541599714</v>
      </c>
      <c r="E19" s="33">
        <f>SUM(E68:E71)</f>
        <v>3.2873595958001016</v>
      </c>
    </row>
    <row r="20" spans="2:7" ht="18.75" x14ac:dyDescent="0.3">
      <c r="B20" s="29" t="s">
        <v>125</v>
      </c>
      <c r="C20" s="32" t="s">
        <v>116</v>
      </c>
      <c r="D20" s="33">
        <f>SUM(D72:D75)</f>
        <v>1.9019705415997508</v>
      </c>
      <c r="E20" s="33">
        <f>SUM(E72:E75)</f>
        <v>1.6649347122444142</v>
      </c>
    </row>
    <row r="21" spans="2:7" ht="18.75" x14ac:dyDescent="0.3">
      <c r="B21" s="29" t="s">
        <v>126</v>
      </c>
      <c r="C21" s="32" t="s">
        <v>112</v>
      </c>
      <c r="D21" s="33">
        <f>SUM(D76:D79)</f>
        <v>1.4512903542900231</v>
      </c>
      <c r="E21" s="33">
        <f>SUM(E76:E79)</f>
        <v>1.8704324623036168</v>
      </c>
    </row>
    <row r="22" spans="2:7" ht="18.75" x14ac:dyDescent="0.3">
      <c r="B22" s="29" t="s">
        <v>127</v>
      </c>
      <c r="C22" s="32" t="s">
        <v>152</v>
      </c>
      <c r="D22" s="33">
        <f>SUM(D80:D83)</f>
        <v>2.211938359316092</v>
      </c>
      <c r="E22" s="33">
        <f>SUM(E80:E83)</f>
        <v>2.3238370569195546</v>
      </c>
    </row>
    <row r="23" spans="2:7" ht="18.75" x14ac:dyDescent="0.3">
      <c r="B23" s="29" t="s">
        <v>128</v>
      </c>
      <c r="C23" s="32" t="s">
        <v>151</v>
      </c>
      <c r="D23" s="33">
        <f>SUM(D84:D87)</f>
        <v>0.83836529954880212</v>
      </c>
      <c r="E23" s="33">
        <f>SUM(E84:E87)</f>
        <v>1.4382827820320501</v>
      </c>
    </row>
    <row r="24" spans="2:7" ht="18.75" x14ac:dyDescent="0.3">
      <c r="B24" s="29" t="s">
        <v>129</v>
      </c>
      <c r="C24" s="32" t="s">
        <v>153</v>
      </c>
      <c r="D24" s="33">
        <f>SUM(D88:D91)</f>
        <v>0.38758496108634971</v>
      </c>
      <c r="E24" s="33">
        <f>SUM(E88:E91)</f>
        <v>0.29756880082103188</v>
      </c>
    </row>
    <row r="25" spans="2:7" ht="18.75" x14ac:dyDescent="0.3">
      <c r="B25" s="54"/>
      <c r="C25" s="54"/>
      <c r="D25" s="54"/>
      <c r="E25" s="54"/>
    </row>
    <row r="26" spans="2:7" ht="36" customHeight="1" x14ac:dyDescent="0.25"/>
    <row r="27" spans="2:7" ht="23.25" x14ac:dyDescent="0.35">
      <c r="B27" s="50" t="s">
        <v>213</v>
      </c>
      <c r="C27" s="22"/>
      <c r="D27" s="22"/>
      <c r="E27" s="22"/>
      <c r="F27" s="22"/>
      <c r="G27" s="22"/>
    </row>
    <row r="28" spans="2:7" ht="56.25" x14ac:dyDescent="0.25">
      <c r="B28" s="45" t="s">
        <v>118</v>
      </c>
      <c r="C28" s="45" t="s">
        <v>114</v>
      </c>
      <c r="D28" s="45" t="s">
        <v>155</v>
      </c>
      <c r="E28" s="45" t="s">
        <v>158</v>
      </c>
      <c r="F28" s="56" t="s">
        <v>156</v>
      </c>
      <c r="G28" s="73"/>
    </row>
    <row r="29" spans="2:7" ht="18.75" x14ac:dyDescent="0.3">
      <c r="B29" s="34" t="str">
        <f t="shared" ref="B29:B38" si="1">INDEX($B$60:$B$91,MATCH(F29,$F$60:$F$91,0))</f>
        <v>O3T003002_contribution</v>
      </c>
      <c r="C29" s="35" t="str">
        <f t="shared" ref="C29:C38" si="2">VLOOKUP($B29,$B$60:$C$91,2,FALSE)</f>
        <v>On-Road Mobile: Texas</v>
      </c>
      <c r="D29" s="31">
        <f t="shared" ref="D29:D38" si="3">ROUND(F29,1)</f>
        <v>3.8</v>
      </c>
      <c r="E29" s="1">
        <f>VLOOKUP(C29,$C$60:$E$91,3,FALSE)</f>
        <v>1.6366284045156683</v>
      </c>
      <c r="F29" s="36">
        <f>LARGE($F$60:$F$91,1)</f>
        <v>3.8037407808940666</v>
      </c>
      <c r="G29" s="74"/>
    </row>
    <row r="30" spans="2:7" ht="18.75" x14ac:dyDescent="0.3">
      <c r="B30" s="34" t="str">
        <f t="shared" si="1"/>
        <v>O3T003003_contribution</v>
      </c>
      <c r="C30" s="37" t="str">
        <f t="shared" si="2"/>
        <v>On-Road Mobile: Mexico</v>
      </c>
      <c r="D30" s="31">
        <f t="shared" si="3"/>
        <v>2</v>
      </c>
      <c r="E30" s="1">
        <f t="shared" ref="E30:E38" si="4">VLOOKUP(C30,$C$60:$E$91,3,FALSE)</f>
        <v>1.0485421962579942</v>
      </c>
      <c r="F30" s="38">
        <f>LARGE($F$60:$F$91,2)</f>
        <v>2.0005192758914894</v>
      </c>
      <c r="G30" s="74"/>
    </row>
    <row r="31" spans="2:7" ht="18.75" x14ac:dyDescent="0.3">
      <c r="B31" s="34" t="str">
        <f t="shared" si="1"/>
        <v>O3T006003_contribution</v>
      </c>
      <c r="C31" s="37" t="str">
        <f t="shared" si="2"/>
        <v>EGU: Mexico</v>
      </c>
      <c r="D31" s="31">
        <f t="shared" si="3"/>
        <v>1.6</v>
      </c>
      <c r="E31" s="1">
        <f t="shared" si="4"/>
        <v>2.06172669140286</v>
      </c>
      <c r="F31" s="38">
        <f>LARGE($F$60:$F$91,3)</f>
        <v>1.6271557784935682</v>
      </c>
      <c r="G31" s="74"/>
    </row>
    <row r="32" spans="2:7" ht="18.75" x14ac:dyDescent="0.3">
      <c r="B32" s="34" t="str">
        <f t="shared" si="1"/>
        <v>O3T003001_contribution</v>
      </c>
      <c r="C32" s="37" t="str">
        <f t="shared" si="2"/>
        <v>On-Road Mobile: New Mexico</v>
      </c>
      <c r="D32" s="31">
        <f t="shared" si="3"/>
        <v>1.3</v>
      </c>
      <c r="E32" s="1">
        <f t="shared" si="4"/>
        <v>0.53137285860898043</v>
      </c>
      <c r="F32" s="38">
        <f>LARGE($F$60:$F$91,4)</f>
        <v>1.2538924322483858</v>
      </c>
      <c r="G32" s="74"/>
    </row>
    <row r="33" spans="2:7" ht="18.75" x14ac:dyDescent="0.3">
      <c r="B33" s="34" t="str">
        <f t="shared" si="1"/>
        <v>O3T005002_contribution</v>
      </c>
      <c r="C33" s="37" t="str">
        <f t="shared" si="2"/>
        <v>Oil and Gas: Texas</v>
      </c>
      <c r="D33" s="31">
        <f t="shared" si="3"/>
        <v>1.2</v>
      </c>
      <c r="E33" s="1">
        <f t="shared" si="4"/>
        <v>1.5870671824425659</v>
      </c>
      <c r="F33" s="38">
        <f>LARGE($F$60:$F$91,5)</f>
        <v>1.2116286457939989</v>
      </c>
      <c r="G33" s="74"/>
    </row>
    <row r="34" spans="2:7" ht="18.75" x14ac:dyDescent="0.3">
      <c r="B34" s="34" t="str">
        <f t="shared" si="1"/>
        <v>O3T004002_contribution</v>
      </c>
      <c r="C34" s="37" t="str">
        <f t="shared" si="2"/>
        <v>Non-road Mobile: Texas</v>
      </c>
      <c r="D34" s="31">
        <f t="shared" si="3"/>
        <v>0.9</v>
      </c>
      <c r="E34" s="1">
        <f t="shared" si="4"/>
        <v>0.66595373805952252</v>
      </c>
      <c r="F34" s="38">
        <f>LARGE($F$60:$F$91,6)</f>
        <v>0.90867140876913333</v>
      </c>
      <c r="G34" s="74"/>
    </row>
    <row r="35" spans="2:7" ht="18.75" x14ac:dyDescent="0.3">
      <c r="B35" s="34" t="str">
        <f t="shared" si="1"/>
        <v>O3T001002_contribution</v>
      </c>
      <c r="C35" s="37" t="str">
        <f t="shared" si="2"/>
        <v>Natural: Texas</v>
      </c>
      <c r="D35" s="31">
        <f t="shared" si="3"/>
        <v>0.9</v>
      </c>
      <c r="E35" s="1">
        <f t="shared" si="4"/>
        <v>0.74392200205257974</v>
      </c>
      <c r="F35" s="38">
        <f>LARGE($F$60:$F$91,7)</f>
        <v>0.90166082807764369</v>
      </c>
      <c r="G35" s="74"/>
    </row>
    <row r="36" spans="2:7" ht="18.75" x14ac:dyDescent="0.3">
      <c r="B36" s="34" t="str">
        <f t="shared" si="1"/>
        <v>O3T001003_contribution</v>
      </c>
      <c r="C36" s="37" t="str">
        <f t="shared" si="2"/>
        <v>Natural: Mexico</v>
      </c>
      <c r="D36" s="31">
        <f t="shared" si="3"/>
        <v>0.8</v>
      </c>
      <c r="E36" s="1">
        <f t="shared" si="4"/>
        <v>0.85019657377437585</v>
      </c>
      <c r="F36" s="38">
        <f>LARGE($F$60:$F$91,8)</f>
        <v>0.83826514839607758</v>
      </c>
      <c r="G36" s="74"/>
    </row>
    <row r="37" spans="2:7" ht="18.75" x14ac:dyDescent="0.3">
      <c r="B37" s="34" t="str">
        <f t="shared" si="1"/>
        <v>O3T004003_contribution</v>
      </c>
      <c r="C37" s="37" t="str">
        <f t="shared" si="2"/>
        <v>Non-road Mobile: Mexico</v>
      </c>
      <c r="D37" s="31">
        <f t="shared" si="3"/>
        <v>0.5</v>
      </c>
      <c r="E37" s="1">
        <f t="shared" si="4"/>
        <v>0.65185095129075754</v>
      </c>
      <c r="F37" s="38">
        <f>LARGE($F$60:$F$91,9)</f>
        <v>0.54241864321542621</v>
      </c>
      <c r="G37" s="74"/>
    </row>
    <row r="38" spans="2:7" ht="18.75" x14ac:dyDescent="0.3">
      <c r="B38" s="34" t="str">
        <f t="shared" si="1"/>
        <v>O3T001001_contribution</v>
      </c>
      <c r="C38" s="37" t="str">
        <f t="shared" si="2"/>
        <v>Natural: New Mexico</v>
      </c>
      <c r="D38" s="31">
        <f t="shared" si="3"/>
        <v>0.5</v>
      </c>
      <c r="E38" s="1">
        <f t="shared" si="4"/>
        <v>0.41089476592721053</v>
      </c>
      <c r="F38" s="38">
        <f>LARGE($F$60:$F$91,10)</f>
        <v>0.47902296353386009</v>
      </c>
      <c r="G38" s="74"/>
    </row>
    <row r="39" spans="2:7" ht="36.75" customHeight="1" x14ac:dyDescent="0.25"/>
    <row r="40" spans="2:7" ht="23.25" x14ac:dyDescent="0.35">
      <c r="B40" s="50" t="s">
        <v>212</v>
      </c>
      <c r="C40" s="22"/>
    </row>
    <row r="41" spans="2:7" ht="37.5" x14ac:dyDescent="0.25">
      <c r="B41" s="45" t="s">
        <v>118</v>
      </c>
      <c r="C41" s="45" t="s">
        <v>114</v>
      </c>
      <c r="D41" s="45" t="s">
        <v>158</v>
      </c>
      <c r="E41" s="45" t="s">
        <v>155</v>
      </c>
      <c r="F41" s="56" t="s">
        <v>159</v>
      </c>
    </row>
    <row r="42" spans="2:7" ht="18.75" x14ac:dyDescent="0.3">
      <c r="B42" s="34" t="str">
        <f t="shared" ref="B42:B51" si="5">INDEX($B$60:$B$91,MATCH(F42,$G$60:$G$91,0))</f>
        <v>O3T006003_contribution</v>
      </c>
      <c r="C42" s="35" t="str">
        <f t="shared" ref="C42:C51" si="6">VLOOKUP($B42,$B$60:$C$91,2,FALSE)</f>
        <v>EGU: Mexico</v>
      </c>
      <c r="D42" s="31">
        <f t="shared" ref="D42:D51" si="7">ROUND(F42,1)</f>
        <v>2.1</v>
      </c>
      <c r="E42" s="1">
        <f>VLOOKUP(C42,$C$60:$E$91,2,FALSE)</f>
        <v>1.6271557784935682</v>
      </c>
      <c r="F42" s="36">
        <f>LARGE($G$60:$G$91,1)</f>
        <v>2.06172669140286</v>
      </c>
    </row>
    <row r="43" spans="2:7" ht="18.75" x14ac:dyDescent="0.3">
      <c r="B43" s="34" t="str">
        <f t="shared" si="5"/>
        <v>O3T003002_contribution</v>
      </c>
      <c r="C43" s="37" t="str">
        <f t="shared" si="6"/>
        <v>On-Road Mobile: Texas</v>
      </c>
      <c r="D43" s="31">
        <f t="shared" si="7"/>
        <v>1.6</v>
      </c>
      <c r="E43" s="1">
        <f t="shared" ref="E43:E51" si="8">VLOOKUP(C43,$C$60:$E$91,2,FALSE)</f>
        <v>3.8037407808940666</v>
      </c>
      <c r="F43" s="38">
        <f>LARGE($G$60:$G$91,2)</f>
        <v>1.6366284045156683</v>
      </c>
    </row>
    <row r="44" spans="2:7" ht="18.75" x14ac:dyDescent="0.3">
      <c r="B44" s="34" t="str">
        <f t="shared" si="5"/>
        <v>O3T005002_contribution</v>
      </c>
      <c r="C44" s="37" t="str">
        <f t="shared" si="6"/>
        <v>Oil and Gas: Texas</v>
      </c>
      <c r="D44" s="31">
        <f t="shared" si="7"/>
        <v>1.6</v>
      </c>
      <c r="E44" s="1">
        <f t="shared" si="8"/>
        <v>1.2116286457939989</v>
      </c>
      <c r="F44" s="38">
        <f>LARGE($G$60:$G$91,3)</f>
        <v>1.5870671824425659</v>
      </c>
    </row>
    <row r="45" spans="2:7" ht="18.75" x14ac:dyDescent="0.3">
      <c r="B45" s="34" t="str">
        <f t="shared" si="5"/>
        <v>O3T003003_contribution</v>
      </c>
      <c r="C45" s="37" t="str">
        <f t="shared" si="6"/>
        <v>On-Road Mobile: Mexico</v>
      </c>
      <c r="D45" s="31">
        <f t="shared" si="7"/>
        <v>1</v>
      </c>
      <c r="E45" s="1">
        <f t="shared" si="8"/>
        <v>2.0005192758914894</v>
      </c>
      <c r="F45" s="38">
        <f>LARGE($G$60:$G$91,4)</f>
        <v>1.0485421962579942</v>
      </c>
    </row>
    <row r="46" spans="2:7" ht="18.75" x14ac:dyDescent="0.3">
      <c r="B46" s="34" t="str">
        <f t="shared" si="5"/>
        <v>O3T001003_contribution</v>
      </c>
      <c r="C46" s="37" t="str">
        <f t="shared" si="6"/>
        <v>Natural: Mexico</v>
      </c>
      <c r="D46" s="31">
        <f t="shared" si="7"/>
        <v>0.9</v>
      </c>
      <c r="E46" s="1">
        <f t="shared" si="8"/>
        <v>0.83826514839607758</v>
      </c>
      <c r="F46" s="38">
        <f>LARGE($G$60:$G$91,5)</f>
        <v>0.85019657377437585</v>
      </c>
    </row>
    <row r="47" spans="2:7" ht="18.75" x14ac:dyDescent="0.3">
      <c r="B47" s="34" t="str">
        <f t="shared" si="5"/>
        <v>O3T007003_contribution</v>
      </c>
      <c r="C47" s="37" t="str">
        <f t="shared" si="6"/>
        <v>Non-EGU: Mexico</v>
      </c>
      <c r="D47" s="31">
        <f t="shared" si="7"/>
        <v>0.8</v>
      </c>
      <c r="E47" s="1">
        <f t="shared" si="8"/>
        <v>0.40150597131659016</v>
      </c>
      <c r="F47" s="38">
        <f>LARGE($G$60:$G$91,6)</f>
        <v>0.75812552301255365</v>
      </c>
    </row>
    <row r="48" spans="2:7" ht="18.75" x14ac:dyDescent="0.3">
      <c r="B48" s="34" t="str">
        <f t="shared" si="5"/>
        <v>O3T001002_contribution</v>
      </c>
      <c r="C48" s="37" t="str">
        <f t="shared" si="6"/>
        <v>Natural: Texas</v>
      </c>
      <c r="D48" s="31">
        <f t="shared" si="7"/>
        <v>0.7</v>
      </c>
      <c r="E48" s="1">
        <f t="shared" si="8"/>
        <v>0.90166082807764369</v>
      </c>
      <c r="F48" s="38">
        <f>LARGE($G$60:$G$91,7)</f>
        <v>0.74392200205257974</v>
      </c>
    </row>
    <row r="49" spans="2:7" ht="18.75" x14ac:dyDescent="0.3">
      <c r="B49" s="34" t="str">
        <f t="shared" si="5"/>
        <v>O3T004002_contribution</v>
      </c>
      <c r="C49" s="37" t="str">
        <f t="shared" si="6"/>
        <v>Non-road Mobile: Texas</v>
      </c>
      <c r="D49" s="31">
        <f t="shared" si="7"/>
        <v>0.7</v>
      </c>
      <c r="E49" s="1">
        <f t="shared" si="8"/>
        <v>0.90867140876913333</v>
      </c>
      <c r="F49" s="38">
        <f>LARGE($G$60:$G$91,8)</f>
        <v>0.66595373805952252</v>
      </c>
    </row>
    <row r="50" spans="2:7" ht="18.75" x14ac:dyDescent="0.3">
      <c r="B50" s="34" t="str">
        <f t="shared" si="5"/>
        <v>O3T004003_contribution</v>
      </c>
      <c r="C50" s="37" t="str">
        <f t="shared" si="6"/>
        <v>Non-road Mobile: Mexico</v>
      </c>
      <c r="D50" s="31">
        <f t="shared" si="7"/>
        <v>0.7</v>
      </c>
      <c r="E50" s="1">
        <f t="shared" si="8"/>
        <v>0.54241864321542621</v>
      </c>
      <c r="F50" s="38">
        <f>LARGE($G$60:$G$91,9)</f>
        <v>0.65185095129075754</v>
      </c>
    </row>
    <row r="51" spans="2:7" ht="18.75" x14ac:dyDescent="0.3">
      <c r="B51" s="34" t="str">
        <f t="shared" si="5"/>
        <v>O3T007002_contribution</v>
      </c>
      <c r="C51" s="37" t="str">
        <f t="shared" si="6"/>
        <v>Non-EGU: Texas</v>
      </c>
      <c r="D51" s="31">
        <f t="shared" si="7"/>
        <v>0.6</v>
      </c>
      <c r="E51" s="1">
        <f t="shared" si="8"/>
        <v>0.38748480993362511</v>
      </c>
      <c r="F51" s="38">
        <f>LARGE($G$60:$G$91,10)</f>
        <v>0.64469882371516618</v>
      </c>
    </row>
    <row r="58" spans="2:7" ht="23.25" x14ac:dyDescent="0.35">
      <c r="B58" s="50" t="s">
        <v>119</v>
      </c>
      <c r="C58" s="22"/>
      <c r="D58" s="22"/>
      <c r="E58" s="22"/>
      <c r="F58" s="22"/>
      <c r="G58" s="22"/>
    </row>
    <row r="59" spans="2:7" ht="56.25" x14ac:dyDescent="0.25">
      <c r="B59" s="46" t="s">
        <v>118</v>
      </c>
      <c r="C59" s="46" t="s">
        <v>114</v>
      </c>
      <c r="D59" s="46" t="s">
        <v>155</v>
      </c>
      <c r="E59" s="46" t="s">
        <v>158</v>
      </c>
      <c r="F59" s="55" t="s">
        <v>157</v>
      </c>
      <c r="G59" s="55" t="s">
        <v>160</v>
      </c>
    </row>
    <row r="60" spans="2:7" ht="18.75" x14ac:dyDescent="0.3">
      <c r="B60" s="39" t="s">
        <v>72</v>
      </c>
      <c r="C60" s="40" t="str">
        <f>VLOOKUP($B60,lookup!$G$1:$I$33,3,FALSE)&amp;": "&amp;VLOOKUP($B60,lookup!$G$1:$H$33,2,FALSE)</f>
        <v>Natural: New Mexico</v>
      </c>
      <c r="D60" s="31">
        <f>INDEX(raw_data!$G$41:$AM$57,MATCH(plots!$C$3,raw_data!$A$41:$A$57,0),MATCH($B60,raw_data!$G$40:$AM$40,0))</f>
        <v>0.47902296353386009</v>
      </c>
      <c r="E60" s="33">
        <f>INDEX(raw_data!$G$101:$AM$117,MATCH(plots!$C$3,raw_data!$A$101:A$117,0),MATCH($B60,raw_data!$G$100:$AM$100,0))</f>
        <v>0.41089476592721053</v>
      </c>
      <c r="F60" s="38">
        <f>(COUNTIF($D$60:D60,D60)-1)*0.0001+D60</f>
        <v>0.47902296353386009</v>
      </c>
      <c r="G60" s="38">
        <f>(COUNTIF($E$60:E60,E60)-1)*0.0001+E60</f>
        <v>0.41089476592721053</v>
      </c>
    </row>
    <row r="61" spans="2:7" ht="18.75" x14ac:dyDescent="0.3">
      <c r="B61" s="41" t="s">
        <v>74</v>
      </c>
      <c r="C61" s="42" t="str">
        <f>VLOOKUP($B61,lookup!$G$1:$I$33,3,FALSE)&amp;": "&amp;VLOOKUP($B61,lookup!$G$1:$H$33,2,FALSE)</f>
        <v>Natural: Texas</v>
      </c>
      <c r="D61" s="31">
        <f>INDEX(raw_data!$G$41:$AM$57,MATCH(plots!$C$3,raw_data!$A$41:$A$57,0),MATCH($B61,raw_data!$G$40:$AM$40,0))</f>
        <v>0.90166082807764369</v>
      </c>
      <c r="E61" s="33">
        <f>INDEX(raw_data!$G$101:$AM$117,MATCH(plots!$C$3,raw_data!$A$101:A$117,0),MATCH($B61,raw_data!$G$100:$AM$100,0))</f>
        <v>0.74392200205257974</v>
      </c>
      <c r="F61" s="38">
        <f>(COUNTIF($D$60:D61,D61)-1)*0.0001+D61</f>
        <v>0.90166082807764369</v>
      </c>
      <c r="G61" s="38">
        <f>(COUNTIF($E$60:E61,E61)-1)*0.0001+E61</f>
        <v>0.74392200205257974</v>
      </c>
    </row>
    <row r="62" spans="2:7" ht="18.75" x14ac:dyDescent="0.3">
      <c r="B62" s="41" t="s">
        <v>75</v>
      </c>
      <c r="C62" s="42" t="str">
        <f>VLOOKUP($B62,lookup!$G$1:$I$33,3,FALSE)&amp;": "&amp;VLOOKUP($B62,lookup!$G$1:$H$33,2,FALSE)</f>
        <v>Natural: Mexico</v>
      </c>
      <c r="D62" s="31">
        <f>INDEX(raw_data!$G$41:$AM$57,MATCH(plots!$C$3,raw_data!$A$41:$A$57,0),MATCH($B62,raw_data!$G$40:$AM$40,0))</f>
        <v>0.83826514839607758</v>
      </c>
      <c r="E62" s="33">
        <f>INDEX(raw_data!$G$101:$AM$117,MATCH(plots!$C$3,raw_data!$A$101:A$117,0),MATCH($B62,raw_data!$G$100:$AM$100,0))</f>
        <v>0.85019657377437585</v>
      </c>
      <c r="F62" s="38">
        <f>(COUNTIF($D$60:D62,D62)-1)*0.0001+D62</f>
        <v>0.83826514839607758</v>
      </c>
      <c r="G62" s="38">
        <f>(COUNTIF($E$60:E62,E62)-1)*0.0001+E62</f>
        <v>0.85019657377437585</v>
      </c>
    </row>
    <row r="63" spans="2:7" ht="18.75" x14ac:dyDescent="0.3">
      <c r="B63" s="41" t="s">
        <v>76</v>
      </c>
      <c r="C63" s="42" t="str">
        <f>VLOOKUP($B63,lookup!$G$1:$I$33,3,FALSE)&amp;": "&amp;VLOOKUP($B63,lookup!$G$1:$H$33,2,FALSE)</f>
        <v>Natural: Other 12km</v>
      </c>
      <c r="D63" s="31">
        <f>INDEX(raw_data!$G$41:$AM$57,MATCH(plots!$C$3,raw_data!$A$41:$A$57,0),MATCH($B63,raw_data!$G$40:$AM$40,0))</f>
        <v>7.0506411525780327E-2</v>
      </c>
      <c r="E63" s="33">
        <f>INDEX(raw_data!$G$101:$AM$117,MATCH(plots!$C$3,raw_data!$A$101:A$117,0),MATCH($B63,raw_data!$G$100:$AM$100,0))</f>
        <v>6.3764743033076221E-2</v>
      </c>
      <c r="F63" s="38">
        <f>(COUNTIF($D$60:D63,D63)-1)*0.0001+D63</f>
        <v>7.0506411525780327E-2</v>
      </c>
      <c r="G63" s="38">
        <f>(COUNTIF($E$60:E63,E63)-1)*0.0001+E63</f>
        <v>6.3764743033076221E-2</v>
      </c>
    </row>
    <row r="64" spans="2:7" ht="18.75" x14ac:dyDescent="0.3">
      <c r="B64" s="41" t="s">
        <v>77</v>
      </c>
      <c r="C64" s="42" t="str">
        <f>VLOOKUP($B64,lookup!$G$1:$I$33,3,FALSE)&amp;": "&amp;VLOOKUP($B64,lookup!$G$1:$H$33,2,FALSE)</f>
        <v>Fires: New Mexico</v>
      </c>
      <c r="D64" s="31">
        <f>INDEX(raw_data!$G$41:$AM$57,MATCH(plots!$C$3,raw_data!$A$41:$A$57,0),MATCH($B64,raw_data!$G$40:$AM$40,0))</f>
        <v>3.5253205762883044E-2</v>
      </c>
      <c r="E64" s="33">
        <f>INDEX(raw_data!$G$101:$AM$117,MATCH(plots!$C$3,raw_data!$A$101:A$117,0),MATCH($B64,raw_data!$G$100:$AM$100,0))</f>
        <v>2.8306307728746018E-2</v>
      </c>
      <c r="F64" s="38">
        <f>(COUNTIF($D$60:D64,D64)-1)*0.0001+D64</f>
        <v>3.5253205762883044E-2</v>
      </c>
      <c r="G64" s="38">
        <f>(COUNTIF($E$60:E64,E64)-1)*0.0001+E64</f>
        <v>2.8306307728746018E-2</v>
      </c>
    </row>
    <row r="65" spans="2:7" ht="18.75" x14ac:dyDescent="0.3">
      <c r="B65" s="41" t="s">
        <v>78</v>
      </c>
      <c r="C65" s="42" t="str">
        <f>VLOOKUP($B65,lookup!$G$1:$I$33,3,FALSE)&amp;": "&amp;VLOOKUP($B65,lookup!$G$1:$H$33,2,FALSE)</f>
        <v>Fires: Texas</v>
      </c>
      <c r="D65" s="31">
        <f>INDEX(raw_data!$G$41:$AM$57,MATCH(plots!$C$3,raw_data!$A$41:$A$57,0),MATCH($B65,raw_data!$G$40:$AM$40,0))</f>
        <v>2.1131893227179215E-2</v>
      </c>
      <c r="E65" s="33">
        <f>INDEX(raw_data!$G$101:$AM$117,MATCH(plots!$C$3,raw_data!$A$101:A$117,0),MATCH($B65,raw_data!$G$100:$AM$100,0))</f>
        <v>7.0513933843825054E-3</v>
      </c>
      <c r="F65" s="38">
        <f>(COUNTIF($D$60:D65,D65)-1)*0.0001+D65</f>
        <v>2.1131893227179215E-2</v>
      </c>
      <c r="G65" s="38">
        <f>(COUNTIF($E$60:E65,E65)-1)*0.0001+E65</f>
        <v>7.0513933843825054E-3</v>
      </c>
    </row>
    <row r="66" spans="2:7" ht="18.75" x14ac:dyDescent="0.3">
      <c r="B66" s="41" t="s">
        <v>79</v>
      </c>
      <c r="C66" s="42" t="str">
        <f>VLOOKUP($B66,lookup!$G$1:$I$33,3,FALSE)&amp;": "&amp;VLOOKUP($B66,lookup!$G$1:$H$33,2,FALSE)</f>
        <v>Fires: Mexico</v>
      </c>
      <c r="D66" s="31">
        <f>INDEX(raw_data!$G$41:$AM$57,MATCH(plots!$C$3,raw_data!$A$41:$A$57,0),MATCH($B66,raw_data!$G$40:$AM$40,0))</f>
        <v>7.1107318442142076E-3</v>
      </c>
      <c r="E66" s="33">
        <f>INDEX(raw_data!$G$101:$AM$117,MATCH(plots!$C$3,raw_data!$A$101:A$117,0),MATCH($B66,raw_data!$G$100:$AM$100,0))</f>
        <v>0</v>
      </c>
      <c r="F66" s="38">
        <f>(COUNTIF($D$60:D66,D66)-1)*0.0001+D66</f>
        <v>7.1107318442142076E-3</v>
      </c>
      <c r="G66" s="38">
        <f>(COUNTIF($E$60:E66,E66)-1)*0.0001+E66</f>
        <v>0</v>
      </c>
    </row>
    <row r="67" spans="2:7" ht="18.75" x14ac:dyDescent="0.3">
      <c r="B67" s="41" t="s">
        <v>80</v>
      </c>
      <c r="C67" s="42" t="str">
        <f>VLOOKUP($B67,lookup!$G$1:$I$33,3,FALSE)&amp;": "&amp;VLOOKUP($B67,lookup!$G$1:$H$33,2,FALSE)</f>
        <v>Fires: Other 12km</v>
      </c>
      <c r="D67" s="31">
        <f>INDEX(raw_data!$G$41:$AM$57,MATCH(plots!$C$3,raw_data!$A$41:$A$57,0),MATCH($B67,raw_data!$G$40:$AM$40,0))</f>
        <v>5.6385098990076495E-2</v>
      </c>
      <c r="E67" s="33">
        <f>INDEX(raw_data!$G$101:$AM$117,MATCH(plots!$C$3,raw_data!$A$101:A$117,0),MATCH($B67,raw_data!$G$100:$AM$100,0))</f>
        <v>3.5458435304330203E-2</v>
      </c>
      <c r="F67" s="38">
        <f>(COUNTIF($D$60:D67,D67)-1)*0.0001+D67</f>
        <v>5.6385098990076495E-2</v>
      </c>
      <c r="G67" s="38">
        <f>(COUNTIF($E$60:E67,E67)-1)*0.0001+E67</f>
        <v>3.5458435304330203E-2</v>
      </c>
    </row>
    <row r="68" spans="2:7" ht="18.75" x14ac:dyDescent="0.3">
      <c r="B68" s="41" t="s">
        <v>81</v>
      </c>
      <c r="C68" s="42" t="str">
        <f>VLOOKUP($B68,lookup!$G$1:$I$33,3,FALSE)&amp;": "&amp;VLOOKUP($B68,lookup!$G$1:$H$33,2,FALSE)</f>
        <v>On-Road Mobile: New Mexico</v>
      </c>
      <c r="D68" s="31">
        <f>INDEX(raw_data!$G$41:$AM$57,MATCH(plots!$C$3,raw_data!$A$41:$A$57,0),MATCH($B68,raw_data!$G$40:$AM$40,0))</f>
        <v>1.2538924322483858</v>
      </c>
      <c r="E68" s="33">
        <f>INDEX(raw_data!$G$101:$AM$117,MATCH(plots!$C$3,raw_data!$A$101:A$117,0),MATCH($B68,raw_data!$G$100:$AM$100,0))</f>
        <v>0.53137285860898043</v>
      </c>
      <c r="F68" s="38">
        <f>(COUNTIF($D$60:D68,D68)-1)*0.0001+D68</f>
        <v>1.2538924322483858</v>
      </c>
      <c r="G68" s="38">
        <f>(COUNTIF($E$60:E68,E68)-1)*0.0001+E68</f>
        <v>0.53137285860898043</v>
      </c>
    </row>
    <row r="69" spans="2:7" ht="18.75" x14ac:dyDescent="0.3">
      <c r="B69" s="41" t="s">
        <v>82</v>
      </c>
      <c r="C69" s="42" t="str">
        <f>VLOOKUP($B69,lookup!$G$1:$I$33,3,FALSE)&amp;": "&amp;VLOOKUP($B69,lookup!$G$1:$H$33,2,FALSE)</f>
        <v>On-Road Mobile: Texas</v>
      </c>
      <c r="D69" s="31">
        <f>INDEX(raw_data!$G$41:$AM$57,MATCH(plots!$C$3,raw_data!$A$41:$A$57,0),MATCH($B69,raw_data!$G$40:$AM$40,0))</f>
        <v>3.8037407808940666</v>
      </c>
      <c r="E69" s="33">
        <f>INDEX(raw_data!$G$101:$AM$117,MATCH(plots!$C$3,raw_data!$A$101:A$117,0),MATCH($B69,raw_data!$G$100:$AM$100,0))</f>
        <v>1.6366284045156683</v>
      </c>
      <c r="F69" s="38">
        <f>(COUNTIF($D$60:D69,D69)-1)*0.0001+D69</f>
        <v>3.8037407808940666</v>
      </c>
      <c r="G69" s="38">
        <f>(COUNTIF($E$60:E69,E69)-1)*0.0001+E69</f>
        <v>1.6366284045156683</v>
      </c>
    </row>
    <row r="70" spans="2:7" ht="18.75" x14ac:dyDescent="0.3">
      <c r="B70" s="41" t="s">
        <v>83</v>
      </c>
      <c r="C70" s="42" t="str">
        <f>VLOOKUP($B70,lookup!$G$1:$I$33,3,FALSE)&amp;": "&amp;VLOOKUP($B70,lookup!$G$1:$H$33,2,FALSE)</f>
        <v>On-Road Mobile: Mexico</v>
      </c>
      <c r="D70" s="31">
        <f>INDEX(raw_data!$G$41:$AM$57,MATCH(plots!$C$3,raw_data!$A$41:$A$57,0),MATCH($B70,raw_data!$G$40:$AM$40,0))</f>
        <v>2.0005192758914894</v>
      </c>
      <c r="E70" s="33">
        <f>INDEX(raw_data!$G$101:$AM$117,MATCH(plots!$C$3,raw_data!$A$101:A$117,0),MATCH($B70,raw_data!$G$100:$AM$100,0))</f>
        <v>1.0485421962579942</v>
      </c>
      <c r="F70" s="38">
        <f>(COUNTIF($D$60:D70,D70)-1)*0.0001+D70</f>
        <v>2.0005192758914894</v>
      </c>
      <c r="G70" s="38">
        <f>(COUNTIF($E$60:E70,E70)-1)*0.0001+E70</f>
        <v>1.0485421962579942</v>
      </c>
    </row>
    <row r="71" spans="2:7" ht="18.75" x14ac:dyDescent="0.3">
      <c r="B71" s="41" t="s">
        <v>84</v>
      </c>
      <c r="C71" s="42" t="str">
        <f>VLOOKUP($B71,lookup!$G$1:$I$33,3,FALSE)&amp;": "&amp;VLOOKUP($B71,lookup!$G$1:$H$33,2,FALSE)</f>
        <v>On-Road Mobile: Other 12km</v>
      </c>
      <c r="D71" s="31">
        <f>INDEX(raw_data!$G$41:$AM$57,MATCH(plots!$C$3,raw_data!$A$41:$A$57,0),MATCH($B71,raw_data!$G$40:$AM$40,0))</f>
        <v>0.16204456512602949</v>
      </c>
      <c r="E71" s="33">
        <f>INDEX(raw_data!$G$101:$AM$117,MATCH(plots!$C$3,raw_data!$A$101:A$117,0),MATCH($B71,raw_data!$G$100:$AM$100,0))</f>
        <v>7.0816136417458722E-2</v>
      </c>
      <c r="F71" s="38">
        <f>(COUNTIF($D$60:D71,D71)-1)*0.0001+D71</f>
        <v>0.16204456512602949</v>
      </c>
      <c r="G71" s="38">
        <f>(COUNTIF($E$60:E71,E71)-1)*0.0001+E71</f>
        <v>7.0816136417458722E-2</v>
      </c>
    </row>
    <row r="72" spans="2:7" ht="18.75" x14ac:dyDescent="0.3">
      <c r="B72" s="41" t="s">
        <v>85</v>
      </c>
      <c r="C72" s="42" t="str">
        <f>VLOOKUP($B72,lookup!$G$1:$I$33,3,FALSE)&amp;": "&amp;VLOOKUP($B72,lookup!$G$1:$H$33,2,FALSE)</f>
        <v>Non-road Mobile: New Mexico</v>
      </c>
      <c r="D72" s="31">
        <f>INDEX(raw_data!$G$41:$AM$57,MATCH(plots!$C$3,raw_data!$A$41:$A$57,0),MATCH($B72,raw_data!$G$40:$AM$40,0))</f>
        <v>0.38748480993362511</v>
      </c>
      <c r="E72" s="33">
        <f>INDEX(raw_data!$G$101:$AM$117,MATCH(plots!$C$3,raw_data!$A$101:A$117,0),MATCH($B72,raw_data!$G$100:$AM$100,0))</f>
        <v>0.29756880082103193</v>
      </c>
      <c r="F72" s="38">
        <f>(COUNTIF($D$60:D72,D72)-1)*0.0001+D72</f>
        <v>0.38748480993362511</v>
      </c>
      <c r="G72" s="38">
        <f>(COUNTIF($E$60:E72,E72)-1)*0.0001+E72</f>
        <v>0.29756880082103193</v>
      </c>
    </row>
    <row r="73" spans="2:7" ht="18.75" x14ac:dyDescent="0.3">
      <c r="B73" s="41" t="s">
        <v>86</v>
      </c>
      <c r="C73" s="42" t="str">
        <f>VLOOKUP($B73,lookup!$G$1:$I$33,3,FALSE)&amp;": "&amp;VLOOKUP($B73,lookup!$G$1:$H$33,2,FALSE)</f>
        <v>Non-road Mobile: Texas</v>
      </c>
      <c r="D73" s="31">
        <f>INDEX(raw_data!$G$41:$AM$57,MATCH(plots!$C$3,raw_data!$A$41:$A$57,0),MATCH($B73,raw_data!$G$40:$AM$40,0))</f>
        <v>0.90867140876913333</v>
      </c>
      <c r="E73" s="33">
        <f>INDEX(raw_data!$G$101:$AM$117,MATCH(plots!$C$3,raw_data!$A$101:A$117,0),MATCH($B73,raw_data!$G$100:$AM$100,0))</f>
        <v>0.66595373805952252</v>
      </c>
      <c r="F73" s="38">
        <f>(COUNTIF($D$60:D73,D73)-1)*0.0001+D73</f>
        <v>0.90867140876913333</v>
      </c>
      <c r="G73" s="38">
        <f>(COUNTIF($E$60:E73,E73)-1)*0.0001+E73</f>
        <v>0.66595373805952252</v>
      </c>
    </row>
    <row r="74" spans="2:7" ht="18.75" x14ac:dyDescent="0.3">
      <c r="B74" s="41" t="s">
        <v>87</v>
      </c>
      <c r="C74" s="42" t="str">
        <f>VLOOKUP($B74,lookup!$G$1:$I$33,3,FALSE)&amp;": "&amp;VLOOKUP($B74,lookup!$G$1:$H$33,2,FALSE)</f>
        <v>Non-road Mobile: Mexico</v>
      </c>
      <c r="D74" s="31">
        <f>INDEX(raw_data!$G$41:$AM$57,MATCH(plots!$C$3,raw_data!$A$41:$A$57,0),MATCH($B74,raw_data!$G$40:$AM$40,0))</f>
        <v>0.54241864321542621</v>
      </c>
      <c r="E74" s="33">
        <f>INDEX(raw_data!$G$101:$AM$117,MATCH(plots!$C$3,raw_data!$A$101:A$117,0),MATCH($B74,raw_data!$G$100:$AM$100,0))</f>
        <v>0.65185095129075754</v>
      </c>
      <c r="F74" s="38">
        <f>(COUNTIF($D$60:D74,D74)-1)*0.0001+D74</f>
        <v>0.54241864321542621</v>
      </c>
      <c r="G74" s="38">
        <f>(COUNTIF($E$60:E74,E74)-1)*0.0001+E74</f>
        <v>0.65185095129075754</v>
      </c>
    </row>
    <row r="75" spans="2:7" ht="18.75" x14ac:dyDescent="0.3">
      <c r="B75" s="41" t="s">
        <v>88</v>
      </c>
      <c r="C75" s="42" t="str">
        <f>VLOOKUP($B75,lookup!$G$1:$I$33,3,FALSE)&amp;": "&amp;VLOOKUP($B75,lookup!$G$1:$H$33,2,FALSE)</f>
        <v>Non-road Mobile: Other 12km</v>
      </c>
      <c r="D75" s="31">
        <f>INDEX(raw_data!$G$41:$AM$57,MATCH(plots!$C$3,raw_data!$A$41:$A$57,0),MATCH($B75,raw_data!$G$40:$AM$40,0))</f>
        <v>6.3395679681566119E-2</v>
      </c>
      <c r="E75" s="33">
        <f>INDEX(raw_data!$G$101:$AM$117,MATCH(plots!$C$3,raw_data!$A$101:A$117,0),MATCH($B75,raw_data!$G$100:$AM$100,0))</f>
        <v>4.9561222073102373E-2</v>
      </c>
      <c r="F75" s="38">
        <f>(COUNTIF($D$60:D75,D75)-1)*0.0001+D75</f>
        <v>6.3395679681566119E-2</v>
      </c>
      <c r="G75" s="38">
        <f>(COUNTIF($E$60:E75,E75)-1)*0.0001+E75</f>
        <v>4.9561222073102373E-2</v>
      </c>
    </row>
    <row r="76" spans="2:7" ht="18.75" x14ac:dyDescent="0.3">
      <c r="B76" s="41" t="s">
        <v>89</v>
      </c>
      <c r="C76" s="42" t="str">
        <f>VLOOKUP($B76,lookup!$G$1:$I$33,3,FALSE)&amp;": "&amp;VLOOKUP($B76,lookup!$G$1:$H$33,2,FALSE)</f>
        <v>Oil and Gas: New Mexico</v>
      </c>
      <c r="D76" s="31">
        <f>INDEX(raw_data!$G$41:$AM$57,MATCH(plots!$C$3,raw_data!$A$41:$A$57,0),MATCH($B76,raw_data!$G$40:$AM$40,0))</f>
        <v>0.21842966411610601</v>
      </c>
      <c r="E76" s="33">
        <f>INDEX(raw_data!$G$101:$AM$117,MATCH(plots!$C$3,raw_data!$A$101:A$117,0),MATCH($B76,raw_data!$G$100:$AM$100,0))</f>
        <v>0.27631388647666838</v>
      </c>
      <c r="F76" s="38">
        <f>(COUNTIF($D$60:D76,D76)-1)*0.0001+D76</f>
        <v>0.21842966411610601</v>
      </c>
      <c r="G76" s="38">
        <f>(COUNTIF($E$60:E76,E76)-1)*0.0001+E76</f>
        <v>0.27631388647666838</v>
      </c>
    </row>
    <row r="77" spans="2:7" ht="18.75" x14ac:dyDescent="0.3">
      <c r="B77" s="41" t="s">
        <v>90</v>
      </c>
      <c r="C77" s="42" t="str">
        <f>VLOOKUP($B77,lookup!$G$1:$I$33,3,FALSE)&amp;": "&amp;VLOOKUP($B77,lookup!$G$1:$H$33,2,FALSE)</f>
        <v>Oil and Gas: Texas</v>
      </c>
      <c r="D77" s="31">
        <f>INDEX(raw_data!$G$41:$AM$57,MATCH(plots!$C$3,raw_data!$A$41:$A$57,0),MATCH($B77,raw_data!$G$40:$AM$40,0))</f>
        <v>1.2116286457939989</v>
      </c>
      <c r="E77" s="33">
        <f>INDEX(raw_data!$G$101:$AM$117,MATCH(plots!$C$3,raw_data!$A$101:A$117,0),MATCH($B77,raw_data!$G$100:$AM$100,0))</f>
        <v>1.5870671824425659</v>
      </c>
      <c r="F77" s="38">
        <f>(COUNTIF($D$60:D77,D77)-1)*0.0001+D77</f>
        <v>1.2116286457939989</v>
      </c>
      <c r="G77" s="38">
        <f>(COUNTIF($E$60:E77,E77)-1)*0.0001+E77</f>
        <v>1.5870671824425659</v>
      </c>
    </row>
    <row r="78" spans="2:7" ht="18.75" x14ac:dyDescent="0.3">
      <c r="B78" s="41" t="s">
        <v>91</v>
      </c>
      <c r="C78" s="42" t="str">
        <f>VLOOKUP($B78,lookup!$G$1:$I$33,3,FALSE)&amp;": "&amp;VLOOKUP($B78,lookup!$G$1:$H$33,2,FALSE)</f>
        <v>Oil and Gas: Mexico</v>
      </c>
      <c r="D78" s="31">
        <f>INDEX(raw_data!$G$41:$AM$57,MATCH(plots!$C$3,raw_data!$A$41:$A$57,0),MATCH($B78,raw_data!$G$40:$AM$40,0))</f>
        <v>7.1107318442142076E-3</v>
      </c>
      <c r="E78" s="33">
        <f>INDEX(raw_data!$G$101:$AM$117,MATCH(plots!$C$3,raw_data!$A$101:A$117,0),MATCH($B78,raw_data!$G$100:$AM$100,0))</f>
        <v>0</v>
      </c>
      <c r="F78" s="38">
        <f>(COUNTIF($D$60:D78,D78)-1)*0.0001+D78</f>
        <v>7.2107318442142078E-3</v>
      </c>
      <c r="G78" s="38">
        <f>(COUNTIF($E$60:E78,E78)-1)*0.0001+E78</f>
        <v>1E-4</v>
      </c>
    </row>
    <row r="79" spans="2:7" ht="18.75" x14ac:dyDescent="0.3">
      <c r="B79" s="41" t="s">
        <v>92</v>
      </c>
      <c r="C79" s="42" t="str">
        <f>VLOOKUP($B79,lookup!$G$1:$I$33,3,FALSE)&amp;": "&amp;VLOOKUP($B79,lookup!$G$1:$H$33,2,FALSE)</f>
        <v>Oil and Gas: Other 12km</v>
      </c>
      <c r="D79" s="31">
        <f>INDEX(raw_data!$G$41:$AM$57,MATCH(plots!$C$3,raw_data!$A$41:$A$57,0),MATCH($B79,raw_data!$G$40:$AM$40,0))</f>
        <v>1.4121312535703829E-2</v>
      </c>
      <c r="E79" s="33">
        <f>INDEX(raw_data!$G$101:$AM$117,MATCH(plots!$C$3,raw_data!$A$101:A$117,0),MATCH($B79,raw_data!$G$100:$AM$100,0))</f>
        <v>7.0513933843825054E-3</v>
      </c>
      <c r="F79" s="38">
        <f>(COUNTIF($D$60:D79,D79)-1)*0.0001+D79</f>
        <v>1.4121312535703829E-2</v>
      </c>
      <c r="G79" s="38">
        <f>(COUNTIF($E$60:E79,E79)-1)*0.0001+E79</f>
        <v>7.1513933843825057E-3</v>
      </c>
    </row>
    <row r="80" spans="2:7" ht="18.75" x14ac:dyDescent="0.3">
      <c r="B80" s="41" t="s">
        <v>93</v>
      </c>
      <c r="C80" s="42" t="str">
        <f>VLOOKUP($B80,lookup!$G$1:$I$33,3,FALSE)&amp;": "&amp;VLOOKUP($B80,lookup!$G$1:$H$33,2,FALSE)</f>
        <v>EGU: New Mexico</v>
      </c>
      <c r="D80" s="31">
        <f>INDEX(raw_data!$G$41:$AM$57,MATCH(plots!$C$3,raw_data!$A$41:$A$57,0),MATCH($B80,raw_data!$G$40:$AM$40,0))</f>
        <v>0.13390209120734645</v>
      </c>
      <c r="E80" s="33">
        <f>INDEX(raw_data!$G$101:$AM$117,MATCH(plots!$C$3,raw_data!$A$101:A$117,0),MATCH($B80,raw_data!$G$100:$AM$100,0))</f>
        <v>9.2071050761822232E-2</v>
      </c>
      <c r="F80" s="38">
        <f>(COUNTIF($D$60:D80,D80)-1)*0.0001+D80</f>
        <v>0.13390209120734645</v>
      </c>
      <c r="G80" s="38">
        <f>(COUNTIF($E$60:E80,E80)-1)*0.0001+E80</f>
        <v>9.2071050761822232E-2</v>
      </c>
    </row>
    <row r="81" spans="2:7" ht="18.75" x14ac:dyDescent="0.3">
      <c r="B81" s="41" t="s">
        <v>94</v>
      </c>
      <c r="C81" s="42" t="str">
        <f>VLOOKUP($B81,lookup!$G$1:$I$33,3,FALSE)&amp;": "&amp;VLOOKUP($B81,lookup!$G$1:$H$33,2,FALSE)</f>
        <v>EGU: Texas</v>
      </c>
      <c r="D81" s="31">
        <f>INDEX(raw_data!$G$41:$AM$57,MATCH(plots!$C$3,raw_data!$A$41:$A$57,0),MATCH($B81,raw_data!$G$40:$AM$40,0))</f>
        <v>0.33109971094353441</v>
      </c>
      <c r="E81" s="33">
        <f>INDEX(raw_data!$G$101:$AM$117,MATCH(plots!$C$3,raw_data!$A$101:A$117,0),MATCH($B81,raw_data!$G$100:$AM$100,0))</f>
        <v>7.7968263993050069E-2</v>
      </c>
      <c r="F81" s="38">
        <f>(COUNTIF($D$60:D81,D81)-1)*0.0001+D81</f>
        <v>0.33109971094353441</v>
      </c>
      <c r="G81" s="38">
        <f>(COUNTIF($E$60:E81,E81)-1)*0.0001+E81</f>
        <v>7.7968263993050069E-2</v>
      </c>
    </row>
    <row r="82" spans="2:7" ht="18.75" x14ac:dyDescent="0.3">
      <c r="B82" s="41" t="s">
        <v>95</v>
      </c>
      <c r="C82" s="42" t="str">
        <f>VLOOKUP($B82,lookup!$G$1:$I$33,3,FALSE)&amp;": "&amp;VLOOKUP($B82,lookup!$G$1:$H$33,2,FALSE)</f>
        <v>EGU: Mexico</v>
      </c>
      <c r="D82" s="31">
        <f>INDEX(raw_data!$G$41:$AM$57,MATCH(plots!$C$3,raw_data!$A$41:$A$57,0),MATCH($B82,raw_data!$G$40:$AM$40,0))</f>
        <v>1.6271557784935682</v>
      </c>
      <c r="E82" s="33">
        <f>INDEX(raw_data!$G$101:$AM$117,MATCH(plots!$C$3,raw_data!$A$101:A$117,0),MATCH($B82,raw_data!$G$100:$AM$100,0))</f>
        <v>2.06172669140286</v>
      </c>
      <c r="F82" s="38">
        <f>(COUNTIF($D$60:D82,D82)-1)*0.0001+D82</f>
        <v>1.6271557784935682</v>
      </c>
      <c r="G82" s="38">
        <f>(COUNTIF($E$60:E82,E82)-1)*0.0001+E82</f>
        <v>2.06172669140286</v>
      </c>
    </row>
    <row r="83" spans="2:7" ht="18.75" x14ac:dyDescent="0.3">
      <c r="B83" s="41" t="s">
        <v>96</v>
      </c>
      <c r="C83" s="42" t="str">
        <f>VLOOKUP($B83,lookup!$G$1:$I$33,3,FALSE)&amp;": "&amp;VLOOKUP($B83,lookup!$G$1:$H$33,2,FALSE)</f>
        <v>EGU: Other 12km</v>
      </c>
      <c r="D83" s="31">
        <f>INDEX(raw_data!$G$41:$AM$57,MATCH(plots!$C$3,raw_data!$A$41:$A$57,0),MATCH($B83,raw_data!$G$40:$AM$40,0))</f>
        <v>0.11978077867164261</v>
      </c>
      <c r="E83" s="33">
        <f>INDEX(raw_data!$G$101:$AM$117,MATCH(plots!$C$3,raw_data!$A$101:A$117,0),MATCH($B83,raw_data!$G$100:$AM$100,0))</f>
        <v>9.2071050761822232E-2</v>
      </c>
      <c r="F83" s="38">
        <f>(COUNTIF($D$60:D83,D83)-1)*0.0001+D83</f>
        <v>0.11978077867164261</v>
      </c>
      <c r="G83" s="38">
        <f>(COUNTIF($E$60:E83,E83)-1)*0.0001+E83</f>
        <v>9.2171050761822235E-2</v>
      </c>
    </row>
    <row r="84" spans="2:7" ht="18.75" x14ac:dyDescent="0.3">
      <c r="B84" s="41" t="s">
        <v>97</v>
      </c>
      <c r="C84" s="42" t="str">
        <f>VLOOKUP($B84,lookup!$G$1:$I$33,3,FALSE)&amp;": "&amp;VLOOKUP($B84,lookup!$G$1:$H$33,2,FALSE)</f>
        <v>Non-EGU: New Mexico</v>
      </c>
      <c r="D84" s="31">
        <f>INDEX(raw_data!$G$41:$AM$57,MATCH(plots!$C$3,raw_data!$A$41:$A$57,0),MATCH($B84,raw_data!$G$40:$AM$40,0))</f>
        <v>2.1131893227179215E-2</v>
      </c>
      <c r="E84" s="33">
        <f>INDEX(raw_data!$G$101:$AM$117,MATCH(plots!$C$3,raw_data!$A$101:A$117,0),MATCH($B84,raw_data!$G$100:$AM$100,0))</f>
        <v>2.1254914344356356E-2</v>
      </c>
      <c r="F84" s="38">
        <f>(COUNTIF($D$60:D84,D84)-1)*0.0001+D84</f>
        <v>2.1231893227179215E-2</v>
      </c>
      <c r="G84" s="38">
        <f>(COUNTIF($E$60:E84,E84)-1)*0.0001+E84</f>
        <v>2.1254914344356356E-2</v>
      </c>
    </row>
    <row r="85" spans="2:7" ht="18.75" x14ac:dyDescent="0.3">
      <c r="B85" s="41" t="s">
        <v>98</v>
      </c>
      <c r="C85" s="42" t="str">
        <f>VLOOKUP($B85,lookup!$G$1:$I$33,3,FALSE)&amp;": "&amp;VLOOKUP($B85,lookup!$G$1:$H$33,2,FALSE)</f>
        <v>Non-EGU: Texas</v>
      </c>
      <c r="D85" s="31">
        <f>INDEX(raw_data!$G$41:$AM$57,MATCH(plots!$C$3,raw_data!$A$41:$A$57,0),MATCH($B85,raw_data!$G$40:$AM$40,0))</f>
        <v>0.38748480993362511</v>
      </c>
      <c r="E85" s="33">
        <f>INDEX(raw_data!$G$101:$AM$117,MATCH(plots!$C$3,raw_data!$A$101:A$117,0),MATCH($B85,raw_data!$G$100:$AM$100,0))</f>
        <v>0.64469882371516618</v>
      </c>
      <c r="F85" s="38">
        <f>(COUNTIF($D$60:D85,D85)-1)*0.0001+D85</f>
        <v>0.3875848099336251</v>
      </c>
      <c r="G85" s="38">
        <f>(COUNTIF($E$60:E85,E85)-1)*0.0001+E85</f>
        <v>0.64469882371516618</v>
      </c>
    </row>
    <row r="86" spans="2:7" ht="18.75" x14ac:dyDescent="0.3">
      <c r="B86" s="41" t="s">
        <v>99</v>
      </c>
      <c r="C86" s="42" t="str">
        <f>VLOOKUP($B86,lookup!$G$1:$I$33,3,FALSE)&amp;": "&amp;VLOOKUP($B86,lookup!$G$1:$H$33,2,FALSE)</f>
        <v>Non-EGU: Mexico</v>
      </c>
      <c r="D86" s="31">
        <f>INDEX(raw_data!$G$41:$AM$57,MATCH(plots!$C$3,raw_data!$A$41:$A$57,0),MATCH($B86,raw_data!$G$40:$AM$40,0))</f>
        <v>0.40150597131659016</v>
      </c>
      <c r="E86" s="33">
        <f>INDEX(raw_data!$G$101:$AM$117,MATCH(plots!$C$3,raw_data!$A$101:A$117,0),MATCH($B86,raw_data!$G$100:$AM$100,0))</f>
        <v>0.75812552301255365</v>
      </c>
      <c r="F86" s="38">
        <f>(COUNTIF($D$60:D86,D86)-1)*0.0001+D86</f>
        <v>0.40150597131659016</v>
      </c>
      <c r="G86" s="38">
        <f>(COUNTIF($E$60:E86,E86)-1)*0.0001+E86</f>
        <v>0.75812552301255365</v>
      </c>
    </row>
    <row r="87" spans="2:7" ht="18.75" x14ac:dyDescent="0.3">
      <c r="B87" s="41" t="s">
        <v>100</v>
      </c>
      <c r="C87" s="42" t="str">
        <f>VLOOKUP($B87,lookup!$G$1:$I$33,3,FALSE)&amp;": "&amp;VLOOKUP($B87,lookup!$G$1:$H$33,2,FALSE)</f>
        <v>Non-EGU: Other 12km</v>
      </c>
      <c r="D87" s="31">
        <f>INDEX(raw_data!$G$41:$AM$57,MATCH(plots!$C$3,raw_data!$A$41:$A$57,0),MATCH($B87,raw_data!$G$40:$AM$40,0))</f>
        <v>2.8242625071407658E-2</v>
      </c>
      <c r="E87" s="33">
        <f>INDEX(raw_data!$G$101:$AM$117,MATCH(plots!$C$3,raw_data!$A$101:A$117,0),MATCH($B87,raw_data!$G$100:$AM$100,0))</f>
        <v>1.4203520959973849E-2</v>
      </c>
      <c r="F87" s="38">
        <f>(COUNTIF($D$60:D87,D87)-1)*0.0001+D87</f>
        <v>2.8242625071407658E-2</v>
      </c>
      <c r="G87" s="38">
        <f>(COUNTIF($E$60:E87,E87)-1)*0.0001+E87</f>
        <v>1.4203520959973849E-2</v>
      </c>
    </row>
    <row r="88" spans="2:7" ht="18.75" x14ac:dyDescent="0.3">
      <c r="B88" s="41" t="s">
        <v>101</v>
      </c>
      <c r="C88" s="42" t="str">
        <f>VLOOKUP($B88,lookup!$G$1:$I$33,3,FALSE)&amp;": "&amp;VLOOKUP($B88,lookup!$G$1:$H$33,2,FALSE)</f>
        <v>Remainder Anthro: New Mexico</v>
      </c>
      <c r="D88" s="31">
        <f>INDEX(raw_data!$G$41:$AM$57,MATCH(plots!$C$3,raw_data!$A$41:$A$57,0),MATCH($B88,raw_data!$G$40:$AM$40,0))</f>
        <v>5.6385098990076495E-2</v>
      </c>
      <c r="E88" s="33">
        <f>INDEX(raw_data!$G$101:$AM$117,MATCH(plots!$C$3,raw_data!$A$101:A$117,0),MATCH($B88,raw_data!$G$100:$AM$100,0))</f>
        <v>5.6713349648693713E-2</v>
      </c>
      <c r="F88" s="38">
        <f>(COUNTIF($D$60:D88,D88)-1)*0.0001+D88</f>
        <v>5.6485098990076497E-2</v>
      </c>
      <c r="G88" s="38">
        <f>(COUNTIF($E$60:E88,E88)-1)*0.0001+E88</f>
        <v>5.6713349648693713E-2</v>
      </c>
    </row>
    <row r="89" spans="2:7" ht="18.75" x14ac:dyDescent="0.3">
      <c r="B89" s="41" t="s">
        <v>102</v>
      </c>
      <c r="C89" s="42" t="str">
        <f>VLOOKUP($B89,lookup!$G$1:$I$33,3,FALSE)&amp;": "&amp;VLOOKUP($B89,lookup!$G$1:$H$33,2,FALSE)</f>
        <v>Remainder Anthro: Texas</v>
      </c>
      <c r="D89" s="31">
        <f>INDEX(raw_data!$G$41:$AM$57,MATCH(plots!$C$3,raw_data!$A$41:$A$57,0),MATCH($B89,raw_data!$G$40:$AM$40,0))</f>
        <v>0.26069345057049292</v>
      </c>
      <c r="E89" s="33">
        <f>INDEX(raw_data!$G$101:$AM$117,MATCH(plots!$C$3,raw_data!$A$101:A$117,0),MATCH($B89,raw_data!$G$100:$AM$100,0))</f>
        <v>0.19129422909923582</v>
      </c>
      <c r="F89" s="38">
        <f>(COUNTIF($D$60:D89,D89)-1)*0.0001+D89</f>
        <v>0.26069345057049292</v>
      </c>
      <c r="G89" s="38">
        <f>(COUNTIF($E$60:E89,E89)-1)*0.0001+E89</f>
        <v>0.19129422909923582</v>
      </c>
    </row>
    <row r="90" spans="2:7" ht="18.75" x14ac:dyDescent="0.3">
      <c r="B90" s="41" t="s">
        <v>103</v>
      </c>
      <c r="C90" s="42" t="str">
        <f>VLOOKUP($B90,lookup!$G$1:$I$33,3,FALSE)&amp;": "&amp;VLOOKUP($B90,lookup!$G$1:$H$33,2,FALSE)</f>
        <v>Remainder Anthro: Mexico</v>
      </c>
      <c r="D90" s="31">
        <f>INDEX(raw_data!$G$41:$AM$57,MATCH(plots!$C$3,raw_data!$A$41:$A$57,0),MATCH($B90,raw_data!$G$40:$AM$40,0))</f>
        <v>5.6385098990076495E-2</v>
      </c>
      <c r="E90" s="33">
        <f>INDEX(raw_data!$G$101:$AM$117,MATCH(plots!$C$3,raw_data!$A$101:A$117,0),MATCH($B90,raw_data!$G$100:$AM$100,0))</f>
        <v>4.2509828688719865E-2</v>
      </c>
      <c r="F90" s="38">
        <f>(COUNTIF($D$60:D90,D90)-1)*0.0001+D90</f>
        <v>5.6585098990076493E-2</v>
      </c>
      <c r="G90" s="38">
        <f>(COUNTIF($E$60:E90,E90)-1)*0.0001+E90</f>
        <v>4.2509828688719865E-2</v>
      </c>
    </row>
    <row r="91" spans="2:7" ht="18.75" x14ac:dyDescent="0.3">
      <c r="B91" s="41" t="s">
        <v>104</v>
      </c>
      <c r="C91" s="42" t="str">
        <f>VLOOKUP($B91,lookup!$G$1:$I$33,3,FALSE)&amp;": "&amp;VLOOKUP($B91,lookup!$G$1:$H$33,2,FALSE)</f>
        <v>Remainder Anthro: Other 12km</v>
      </c>
      <c r="D91" s="31">
        <f>INDEX(raw_data!$G$41:$AM$57,MATCH(plots!$C$3,raw_data!$A$41:$A$57,0),MATCH($B91,raw_data!$G$40:$AM$40,0))</f>
        <v>1.4121312535703829E-2</v>
      </c>
      <c r="E91" s="33">
        <f>INDEX(raw_data!$G$101:$AM$117,MATCH(plots!$C$3,raw_data!$A$101:A$117,0),MATCH($B91,raw_data!$G$100:$AM$100,0))</f>
        <v>7.0513933843825054E-3</v>
      </c>
      <c r="F91" s="38">
        <f>(COUNTIF($D$60:D91,D91)-1)*0.0001+D91</f>
        <v>1.4221312535703828E-2</v>
      </c>
      <c r="G91" s="38">
        <f>(COUNTIF($E$60:E91,E91)-1)*0.0001+E91</f>
        <v>7.2513933843825051E-3</v>
      </c>
    </row>
    <row r="92" spans="2:7" ht="19.5" thickBot="1" x14ac:dyDescent="0.35">
      <c r="B92" s="41" t="s">
        <v>187</v>
      </c>
      <c r="C92" s="64" t="str">
        <f>VLOOKUP($B92,lookup!$G$1:$I$34,3,FALSE)</f>
        <v>Boundary Conditions</v>
      </c>
      <c r="D92" s="65">
        <f>INDEX(raw_data!$G$41:$AM$57,MATCH(plots!$C$3,raw_data!$A$41:$A$57,0),MATCH($B92,raw_data!$G$40:$AM$40,0))</f>
        <v>53.879317148641292</v>
      </c>
      <c r="E92" s="66">
        <f>INDEX(raw_data!$G$101:$AM$117,MATCH(plots!$C$3,raw_data!$A$101:A$117,0),MATCH($B92,raw_data!$G$100:$AM$100,0))</f>
        <v>50.777990368674523</v>
      </c>
    </row>
    <row r="93" spans="2:7" ht="21.75" thickBot="1" x14ac:dyDescent="0.4">
      <c r="C93" s="67" t="s">
        <v>210</v>
      </c>
      <c r="D93" s="67">
        <f>SUM(D60:D92)</f>
        <v>70.3</v>
      </c>
      <c r="E93" s="67">
        <f>SUM(E60:E92)</f>
        <v>63.79999999999999</v>
      </c>
    </row>
  </sheetData>
  <conditionalFormatting sqref="D60:D92">
    <cfRule type="dataBar" priority="2">
      <dataBar>
        <cfvo type="min"/>
        <cfvo type="num" val="70"/>
        <color rgb="FFFF555A"/>
      </dataBar>
      <extLst>
        <ext xmlns:x14="http://schemas.microsoft.com/office/spreadsheetml/2009/9/main" uri="{B025F937-C7B1-47D3-B67F-A62EFF666E3E}">
          <x14:id>{27718C1B-7589-4813-BA78-4EFFAB83CF75}</x14:id>
        </ext>
      </extLst>
    </cfRule>
  </conditionalFormatting>
  <conditionalFormatting sqref="E60:E92">
    <cfRule type="dataBar" priority="1">
      <dataBar>
        <cfvo type="min"/>
        <cfvo type="num" val="70"/>
        <color rgb="FFFF555A"/>
      </dataBar>
      <extLst>
        <ext xmlns:x14="http://schemas.microsoft.com/office/spreadsheetml/2009/9/main" uri="{B025F937-C7B1-47D3-B67F-A62EFF666E3E}">
          <x14:id>{E5192589-D0F1-4761-9211-3F5A9488A8D8}</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27718C1B-7589-4813-BA78-4EFFAB83CF75}">
            <x14:dataBar minLength="0" maxLength="100" border="1" negativeBarBorderColorSameAsPositive="0">
              <x14:cfvo type="autoMin"/>
              <x14:cfvo type="num">
                <xm:f>70</xm:f>
              </x14:cfvo>
              <x14:borderColor rgb="FFFF555A"/>
              <x14:negativeFillColor rgb="FFFF0000"/>
              <x14:negativeBorderColor rgb="FFFF0000"/>
              <x14:axisColor rgb="FF000000"/>
            </x14:dataBar>
          </x14:cfRule>
          <xm:sqref>D60:D92</xm:sqref>
        </x14:conditionalFormatting>
        <x14:conditionalFormatting xmlns:xm="http://schemas.microsoft.com/office/excel/2006/main">
          <x14:cfRule type="dataBar" id="{E5192589-D0F1-4761-9211-3F5A9488A8D8}">
            <x14:dataBar minLength="0" maxLength="100" border="1" negativeBarBorderColorSameAsPositive="0">
              <x14:cfvo type="autoMin"/>
              <x14:cfvo type="num">
                <xm:f>70</xm:f>
              </x14:cfvo>
              <x14:borderColor rgb="FFFF555A"/>
              <x14:negativeFillColor rgb="FFFF0000"/>
              <x14:negativeBorderColor rgb="FFFF0000"/>
              <x14:axisColor rgb="FF000000"/>
            </x14:dataBar>
          </x14:cfRule>
          <xm:sqref>E60:E92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lookup!$Q$2:$Q$18</xm:f>
          </x14:formula1>
          <xm:sqref>C2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workbookViewId="0">
      <selection activeCell="E23" sqref="E23"/>
    </sheetView>
  </sheetViews>
  <sheetFormatPr defaultRowHeight="15" x14ac:dyDescent="0.25"/>
  <cols>
    <col min="2" max="2" width="11" bestFit="1" customWidth="1"/>
    <col min="3" max="3" width="12.28515625" bestFit="1" customWidth="1"/>
    <col min="4" max="4" width="10.140625" bestFit="1" customWidth="1"/>
    <col min="5" max="5" width="12.42578125" customWidth="1"/>
    <col min="6" max="6" width="20.5703125" customWidth="1"/>
    <col min="7" max="7" width="17.7109375" customWidth="1"/>
    <col min="8" max="8" width="16.42578125" customWidth="1"/>
    <col min="9" max="9" width="24.7109375" customWidth="1"/>
  </cols>
  <sheetData>
    <row r="1" spans="2:11" ht="15.75" thickBot="1" x14ac:dyDescent="0.3"/>
    <row r="2" spans="2:11" ht="16.5" thickBot="1" x14ac:dyDescent="0.3">
      <c r="B2" s="142" t="s">
        <v>73</v>
      </c>
      <c r="C2" s="142" t="s">
        <v>60</v>
      </c>
      <c r="D2" s="142" t="s">
        <v>218</v>
      </c>
      <c r="E2" s="144" t="s">
        <v>310</v>
      </c>
      <c r="F2" s="146" t="s">
        <v>308</v>
      </c>
      <c r="G2" s="147"/>
      <c r="H2" s="144" t="s">
        <v>309</v>
      </c>
      <c r="I2" s="140" t="s">
        <v>219</v>
      </c>
    </row>
    <row r="3" spans="2:11" ht="14.45" customHeight="1" thickBot="1" x14ac:dyDescent="0.3">
      <c r="B3" s="143"/>
      <c r="C3" s="143"/>
      <c r="D3" s="143"/>
      <c r="E3" s="145"/>
      <c r="F3" s="123" t="s">
        <v>264</v>
      </c>
      <c r="G3" s="123" t="s">
        <v>265</v>
      </c>
      <c r="H3" s="145"/>
      <c r="I3" s="141"/>
      <c r="K3" s="107" t="s">
        <v>266</v>
      </c>
    </row>
    <row r="4" spans="2:11" ht="16.5" thickBot="1" x14ac:dyDescent="0.3">
      <c r="B4" s="99">
        <v>350130008</v>
      </c>
      <c r="C4" s="99" t="s">
        <v>50</v>
      </c>
      <c r="D4" s="99" t="s">
        <v>51</v>
      </c>
      <c r="E4" s="101">
        <v>64.7</v>
      </c>
      <c r="F4" s="101">
        <v>58.332743835616434</v>
      </c>
      <c r="G4" s="101">
        <v>58.339132876712327</v>
      </c>
      <c r="H4" s="105">
        <v>6.389041095893333E-3</v>
      </c>
      <c r="I4" s="87" t="s">
        <v>220</v>
      </c>
      <c r="K4">
        <f>ABS(H4)</f>
        <v>6.389041095893333E-3</v>
      </c>
    </row>
    <row r="5" spans="2:11" ht="16.149999999999999" thickBot="1" x14ac:dyDescent="0.35">
      <c r="B5" s="98">
        <v>350130017</v>
      </c>
      <c r="C5" s="98" t="s">
        <v>50</v>
      </c>
      <c r="D5" s="98" t="s">
        <v>51</v>
      </c>
      <c r="E5" s="102">
        <v>66.7</v>
      </c>
      <c r="F5" s="102">
        <v>61.353299999999997</v>
      </c>
      <c r="G5" s="102">
        <v>61.346600000000002</v>
      </c>
      <c r="H5" s="106">
        <v>-6.6999999999950433E-3</v>
      </c>
      <c r="I5" s="80" t="s">
        <v>221</v>
      </c>
      <c r="K5">
        <f t="shared" ref="K5:K18" si="0">ABS(H5)</f>
        <v>6.6999999999950433E-3</v>
      </c>
    </row>
    <row r="6" spans="2:11" ht="16.149999999999999" thickBot="1" x14ac:dyDescent="0.35">
      <c r="B6" s="100">
        <v>350130020</v>
      </c>
      <c r="C6" s="100" t="s">
        <v>50</v>
      </c>
      <c r="D6" s="100" t="s">
        <v>51</v>
      </c>
      <c r="E6" s="101">
        <v>67.7</v>
      </c>
      <c r="F6" s="101">
        <v>61.25255566502463</v>
      </c>
      <c r="G6" s="101">
        <v>60.813477832512312</v>
      </c>
      <c r="H6" s="105">
        <v>-0.43907783251231791</v>
      </c>
      <c r="I6" s="87" t="s">
        <v>222</v>
      </c>
      <c r="K6">
        <f t="shared" si="0"/>
        <v>0.43907783251231791</v>
      </c>
    </row>
    <row r="7" spans="2:11" ht="16.149999999999999" thickBot="1" x14ac:dyDescent="0.35">
      <c r="B7" s="98">
        <v>350130021</v>
      </c>
      <c r="C7" s="98" t="s">
        <v>50</v>
      </c>
      <c r="D7" s="98" t="s">
        <v>51</v>
      </c>
      <c r="E7" s="103">
        <v>71</v>
      </c>
      <c r="F7" s="102">
        <v>65.063312710566606</v>
      </c>
      <c r="G7" s="102">
        <v>65.056234456355284</v>
      </c>
      <c r="H7" s="106">
        <v>-7.0782542113221325E-3</v>
      </c>
      <c r="I7" s="80" t="s">
        <v>223</v>
      </c>
      <c r="K7">
        <f t="shared" si="0"/>
        <v>7.0782542113221325E-3</v>
      </c>
    </row>
    <row r="8" spans="2:11" ht="16.149999999999999" thickBot="1" x14ac:dyDescent="0.35">
      <c r="B8" s="100">
        <v>350130022</v>
      </c>
      <c r="C8" s="100" t="s">
        <v>50</v>
      </c>
      <c r="D8" s="100" t="s">
        <v>51</v>
      </c>
      <c r="E8" s="104">
        <v>70.3</v>
      </c>
      <c r="F8" s="101">
        <v>63.832848513302032</v>
      </c>
      <c r="G8" s="101">
        <v>63.825859467918619</v>
      </c>
      <c r="H8" s="105">
        <v>-6.9890453834133837E-3</v>
      </c>
      <c r="I8" s="87" t="s">
        <v>224</v>
      </c>
      <c r="K8">
        <f t="shared" si="0"/>
        <v>6.9890453834133837E-3</v>
      </c>
    </row>
    <row r="9" spans="2:11" ht="16.5" thickBot="1" x14ac:dyDescent="0.3">
      <c r="B9" s="98">
        <v>350130023</v>
      </c>
      <c r="C9" s="98" t="s">
        <v>50</v>
      </c>
      <c r="D9" s="98" t="s">
        <v>51</v>
      </c>
      <c r="E9" s="102">
        <v>64.3</v>
      </c>
      <c r="F9" s="102">
        <v>58.594082630691403</v>
      </c>
      <c r="G9" s="102">
        <v>58.702375716694775</v>
      </c>
      <c r="H9" s="106">
        <v>0.10829308600337129</v>
      </c>
      <c r="I9" s="80" t="s">
        <v>273</v>
      </c>
      <c r="K9">
        <f t="shared" si="0"/>
        <v>0.10829308600337129</v>
      </c>
    </row>
    <row r="10" spans="2:11" ht="16.5" thickBot="1" x14ac:dyDescent="0.3">
      <c r="B10" s="100">
        <v>350151005</v>
      </c>
      <c r="C10" s="100" t="s">
        <v>50</v>
      </c>
      <c r="D10" s="100" t="s">
        <v>52</v>
      </c>
      <c r="E10" s="101">
        <v>70.3</v>
      </c>
      <c r="F10" s="101">
        <v>67.554915555555553</v>
      </c>
      <c r="G10" s="101">
        <v>67.850121777777773</v>
      </c>
      <c r="H10" s="105">
        <v>0.29520622222221959</v>
      </c>
      <c r="I10" s="87" t="s">
        <v>274</v>
      </c>
      <c r="K10">
        <f>ABS(H10)</f>
        <v>0.29520622222221959</v>
      </c>
    </row>
    <row r="11" spans="2:11" ht="16.5" thickBot="1" x14ac:dyDescent="0.3">
      <c r="B11" s="98">
        <v>350171003</v>
      </c>
      <c r="C11" s="98" t="s">
        <v>50</v>
      </c>
      <c r="D11" s="98" t="s">
        <v>53</v>
      </c>
      <c r="E11" s="102">
        <v>65</v>
      </c>
      <c r="F11" s="102">
        <v>62.020466988727854</v>
      </c>
      <c r="G11" s="102">
        <v>62.033346215781002</v>
      </c>
      <c r="H11" s="106">
        <v>1.2879227053147702E-2</v>
      </c>
      <c r="I11" s="80" t="s">
        <v>271</v>
      </c>
      <c r="K11">
        <f t="shared" si="0"/>
        <v>1.2879227053147702E-2</v>
      </c>
    </row>
    <row r="12" spans="2:11" ht="16.5" thickBot="1" x14ac:dyDescent="0.3">
      <c r="B12" s="100">
        <v>350290003</v>
      </c>
      <c r="C12" s="100" t="s">
        <v>50</v>
      </c>
      <c r="D12" s="100" t="s">
        <v>54</v>
      </c>
      <c r="E12" s="101">
        <v>63</v>
      </c>
      <c r="F12" s="101">
        <v>58.591628571428579</v>
      </c>
      <c r="G12" s="101">
        <v>58.553857482993209</v>
      </c>
      <c r="H12" s="105">
        <v>-3.7771088435370359E-2</v>
      </c>
      <c r="I12" s="87" t="s">
        <v>272</v>
      </c>
      <c r="K12">
        <f t="shared" si="0"/>
        <v>3.7771088435370359E-2</v>
      </c>
    </row>
    <row r="13" spans="2:11" ht="16.149999999999999" thickBot="1" x14ac:dyDescent="0.35">
      <c r="B13" s="98">
        <v>481410029</v>
      </c>
      <c r="C13" s="98" t="s">
        <v>55</v>
      </c>
      <c r="D13" s="98" t="s">
        <v>56</v>
      </c>
      <c r="E13" s="102">
        <v>65</v>
      </c>
      <c r="F13" s="102">
        <v>58.391030716723549</v>
      </c>
      <c r="G13" s="102">
        <v>58.397408873720131</v>
      </c>
      <c r="H13" s="106">
        <v>6.3781569965826179E-3</v>
      </c>
      <c r="I13" s="80" t="s">
        <v>230</v>
      </c>
      <c r="K13">
        <f t="shared" si="0"/>
        <v>6.3781569965826179E-3</v>
      </c>
    </row>
    <row r="14" spans="2:11" ht="16.149999999999999" thickBot="1" x14ac:dyDescent="0.35">
      <c r="B14" s="100">
        <v>481410037</v>
      </c>
      <c r="C14" s="100" t="s">
        <v>55</v>
      </c>
      <c r="D14" s="100" t="s">
        <v>56</v>
      </c>
      <c r="E14" s="103">
        <v>71</v>
      </c>
      <c r="F14" s="101">
        <v>65.347573660030633</v>
      </c>
      <c r="G14" s="101">
        <v>65.184423889739676</v>
      </c>
      <c r="H14" s="105">
        <v>-0.16314977029095701</v>
      </c>
      <c r="I14" s="87" t="s">
        <v>231</v>
      </c>
      <c r="K14">
        <f t="shared" si="0"/>
        <v>0.16314977029095701</v>
      </c>
    </row>
    <row r="15" spans="2:11" ht="16.149999999999999" thickBot="1" x14ac:dyDescent="0.35">
      <c r="B15" s="98">
        <v>481410044</v>
      </c>
      <c r="C15" s="98" t="s">
        <v>55</v>
      </c>
      <c r="D15" s="98" t="s">
        <v>56</v>
      </c>
      <c r="E15" s="102">
        <v>69</v>
      </c>
      <c r="F15" s="102">
        <v>62.528447217806047</v>
      </c>
      <c r="G15" s="102">
        <v>62.686642607313203</v>
      </c>
      <c r="H15" s="106">
        <v>0.15819538950715639</v>
      </c>
      <c r="I15" s="80" t="s">
        <v>232</v>
      </c>
      <c r="K15">
        <f t="shared" si="0"/>
        <v>0.15819538950715639</v>
      </c>
    </row>
    <row r="16" spans="2:11" ht="16.149999999999999" thickBot="1" x14ac:dyDescent="0.35">
      <c r="B16" s="100">
        <v>481410055</v>
      </c>
      <c r="C16" s="100" t="s">
        <v>55</v>
      </c>
      <c r="D16" s="100" t="s">
        <v>56</v>
      </c>
      <c r="E16" s="101">
        <v>66.3</v>
      </c>
      <c r="F16" s="101">
        <v>60.054324000000001</v>
      </c>
      <c r="G16" s="101">
        <v>60.060834833333338</v>
      </c>
      <c r="H16" s="105">
        <v>6.5108333333370183E-3</v>
      </c>
      <c r="I16" s="87" t="s">
        <v>233</v>
      </c>
      <c r="K16">
        <f t="shared" si="0"/>
        <v>6.5108333333370183E-3</v>
      </c>
    </row>
    <row r="17" spans="2:11" ht="16.149999999999999" thickBot="1" x14ac:dyDescent="0.35">
      <c r="B17" s="98">
        <v>481410057</v>
      </c>
      <c r="C17" s="98" t="s">
        <v>55</v>
      </c>
      <c r="D17" s="98" t="s">
        <v>56</v>
      </c>
      <c r="E17" s="102">
        <v>58.7</v>
      </c>
      <c r="F17" s="102">
        <v>59.774285999999996</v>
      </c>
      <c r="G17" s="102">
        <v>59.774186333333326</v>
      </c>
      <c r="H17" s="106">
        <v>-9.9666666670827908E-5</v>
      </c>
      <c r="I17" s="80" t="s">
        <v>234</v>
      </c>
      <c r="K17">
        <f t="shared" si="0"/>
        <v>9.9666666670827908E-5</v>
      </c>
    </row>
    <row r="18" spans="2:11" ht="16.149999999999999" thickBot="1" x14ac:dyDescent="0.35">
      <c r="B18" s="100">
        <v>481410058</v>
      </c>
      <c r="C18" s="100" t="s">
        <v>55</v>
      </c>
      <c r="D18" s="100" t="s">
        <v>56</v>
      </c>
      <c r="E18" s="101">
        <v>69.3</v>
      </c>
      <c r="F18" s="101">
        <v>62.101598222940233</v>
      </c>
      <c r="G18" s="101">
        <v>61.721430533117939</v>
      </c>
      <c r="H18" s="105">
        <v>-0.38016768982229365</v>
      </c>
      <c r="I18" s="87" t="s">
        <v>235</v>
      </c>
      <c r="K18">
        <f t="shared" si="0"/>
        <v>0.38016768982229365</v>
      </c>
    </row>
    <row r="20" spans="2:11" ht="14.45" x14ac:dyDescent="0.3">
      <c r="G20" t="s">
        <v>268</v>
      </c>
      <c r="H20" s="97">
        <f>MAX(H4:H18)</f>
        <v>0.29520622222221959</v>
      </c>
    </row>
    <row r="21" spans="2:11" ht="14.45" x14ac:dyDescent="0.3">
      <c r="G21" t="s">
        <v>269</v>
      </c>
      <c r="H21" s="97">
        <f>MIN(H4:H18)</f>
        <v>-0.43907783251231791</v>
      </c>
    </row>
    <row r="22" spans="2:11" ht="14.45" x14ac:dyDescent="0.3">
      <c r="G22" t="s">
        <v>267</v>
      </c>
      <c r="H22">
        <f>AVERAGE(K4:K18)</f>
        <v>0.10899235356893655</v>
      </c>
    </row>
  </sheetData>
  <mergeCells count="7">
    <mergeCell ref="I2:I3"/>
    <mergeCell ref="B2:B3"/>
    <mergeCell ref="C2:C3"/>
    <mergeCell ref="D2:D3"/>
    <mergeCell ref="E2:E3"/>
    <mergeCell ref="F2:G2"/>
    <mergeCell ref="H2:H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9"/>
  <sheetViews>
    <sheetView workbookViewId="0">
      <selection activeCell="F24" sqref="F24"/>
    </sheetView>
  </sheetViews>
  <sheetFormatPr defaultRowHeight="15" x14ac:dyDescent="0.25"/>
  <cols>
    <col min="3" max="3" width="11.28515625" bestFit="1" customWidth="1"/>
    <col min="4" max="4" width="10.7109375" customWidth="1"/>
    <col min="9" max="9" width="29.5703125" customWidth="1"/>
    <col min="10" max="10" width="19.85546875" customWidth="1"/>
    <col min="11" max="11" width="59.7109375" customWidth="1"/>
  </cols>
  <sheetData>
    <row r="3" spans="3:11" ht="15.75" thickBot="1" x14ac:dyDescent="0.3">
      <c r="F3" t="s">
        <v>300</v>
      </c>
      <c r="G3" t="s">
        <v>302</v>
      </c>
      <c r="H3" t="s">
        <v>301</v>
      </c>
    </row>
    <row r="4" spans="3:11" ht="15" customHeight="1" thickBot="1" x14ac:dyDescent="0.3">
      <c r="C4" s="121" t="s">
        <v>73</v>
      </c>
      <c r="D4" s="121" t="s">
        <v>215</v>
      </c>
      <c r="E4" s="121" t="s">
        <v>298</v>
      </c>
      <c r="F4" s="121"/>
      <c r="G4" s="121" t="s">
        <v>216</v>
      </c>
      <c r="H4" s="121"/>
      <c r="I4" s="121"/>
      <c r="J4" s="121" t="s">
        <v>218</v>
      </c>
      <c r="K4" s="121" t="s">
        <v>219</v>
      </c>
    </row>
    <row r="5" spans="3:11" ht="15" customHeight="1" thickBot="1" x14ac:dyDescent="0.3">
      <c r="C5" s="89">
        <v>350130008</v>
      </c>
      <c r="D5" s="89">
        <v>64.7</v>
      </c>
      <c r="E5" s="89">
        <v>59.6</v>
      </c>
      <c r="F5" s="89">
        <f>ABS(D5-E5)</f>
        <v>5.1000000000000014</v>
      </c>
      <c r="G5" s="89">
        <f>H5-F5</f>
        <v>0.20000000000000284</v>
      </c>
      <c r="H5" s="89">
        <v>5.3000000000000043</v>
      </c>
      <c r="I5" s="87" t="s">
        <v>220</v>
      </c>
      <c r="J5" s="89" t="s">
        <v>51</v>
      </c>
      <c r="K5" s="89" t="s">
        <v>220</v>
      </c>
    </row>
    <row r="6" spans="3:11" ht="15" customHeight="1" thickBot="1" x14ac:dyDescent="0.3">
      <c r="C6" s="88">
        <v>350130017</v>
      </c>
      <c r="D6" s="88">
        <v>66.7</v>
      </c>
      <c r="E6" s="88">
        <v>60.4</v>
      </c>
      <c r="F6" s="89">
        <f t="shared" ref="F6:F19" si="0">ABS(D6-E6)</f>
        <v>6.3000000000000043</v>
      </c>
      <c r="G6" s="89">
        <f t="shared" ref="G6:G19" si="1">H6-F6</f>
        <v>0</v>
      </c>
      <c r="H6" s="88">
        <v>6.3000000000000043</v>
      </c>
      <c r="I6" s="80" t="s">
        <v>221</v>
      </c>
      <c r="J6" s="88" t="s">
        <v>51</v>
      </c>
      <c r="K6" s="88" t="s">
        <v>221</v>
      </c>
    </row>
    <row r="7" spans="3:11" ht="15" customHeight="1" thickBot="1" x14ac:dyDescent="0.3">
      <c r="C7" s="88">
        <v>350130020</v>
      </c>
      <c r="D7" s="88">
        <v>67.7</v>
      </c>
      <c r="E7" s="88">
        <v>63.3</v>
      </c>
      <c r="F7" s="89">
        <f t="shared" si="0"/>
        <v>4.4000000000000057</v>
      </c>
      <c r="G7" s="89">
        <f t="shared" si="1"/>
        <v>-0.10000000000000142</v>
      </c>
      <c r="H7" s="88">
        <v>4.3000000000000043</v>
      </c>
      <c r="I7" s="87" t="s">
        <v>222</v>
      </c>
      <c r="J7" s="88" t="s">
        <v>51</v>
      </c>
      <c r="K7" s="88" t="s">
        <v>222</v>
      </c>
    </row>
    <row r="8" spans="3:11" ht="15" customHeight="1" thickBot="1" x14ac:dyDescent="0.3">
      <c r="C8" s="89">
        <v>350130021</v>
      </c>
      <c r="D8" s="120">
        <v>71</v>
      </c>
      <c r="E8" s="89">
        <v>64.8</v>
      </c>
      <c r="F8" s="89">
        <f t="shared" si="0"/>
        <v>6.2000000000000028</v>
      </c>
      <c r="G8" s="89">
        <f t="shared" si="1"/>
        <v>0</v>
      </c>
      <c r="H8" s="89">
        <v>6.2000000000000028</v>
      </c>
      <c r="I8" s="80" t="s">
        <v>223</v>
      </c>
      <c r="J8" s="89" t="s">
        <v>51</v>
      </c>
      <c r="K8" s="89" t="s">
        <v>223</v>
      </c>
    </row>
    <row r="9" spans="3:11" ht="15" customHeight="1" thickBot="1" x14ac:dyDescent="0.3">
      <c r="C9" s="88">
        <v>350130022</v>
      </c>
      <c r="D9" s="119">
        <v>70.3</v>
      </c>
      <c r="E9" s="88">
        <v>65.2</v>
      </c>
      <c r="F9" s="89">
        <f t="shared" si="0"/>
        <v>5.0999999999999943</v>
      </c>
      <c r="G9" s="89">
        <f t="shared" si="1"/>
        <v>-0.5</v>
      </c>
      <c r="H9" s="88">
        <v>4.5999999999999943</v>
      </c>
      <c r="I9" s="87" t="s">
        <v>224</v>
      </c>
      <c r="J9" s="88" t="s">
        <v>51</v>
      </c>
      <c r="K9" s="88" t="s">
        <v>224</v>
      </c>
    </row>
    <row r="10" spans="3:11" ht="15" customHeight="1" thickBot="1" x14ac:dyDescent="0.3">
      <c r="C10" s="89">
        <v>350130023</v>
      </c>
      <c r="D10" s="89">
        <v>64.3</v>
      </c>
      <c r="E10" s="89">
        <v>60.6</v>
      </c>
      <c r="F10" s="89">
        <f t="shared" si="0"/>
        <v>3.6999999999999957</v>
      </c>
      <c r="G10" s="89">
        <f t="shared" si="1"/>
        <v>-1.1999999999999957</v>
      </c>
      <c r="H10" s="89">
        <v>2.5</v>
      </c>
      <c r="I10" s="80" t="s">
        <v>273</v>
      </c>
      <c r="J10" s="89" t="s">
        <v>51</v>
      </c>
      <c r="K10" s="89" t="s">
        <v>225</v>
      </c>
    </row>
    <row r="11" spans="3:11" ht="15" customHeight="1" thickBot="1" x14ac:dyDescent="0.3">
      <c r="C11" s="89">
        <v>350151005</v>
      </c>
      <c r="D11" s="119">
        <v>70.3</v>
      </c>
      <c r="E11" s="89">
        <v>65.2</v>
      </c>
      <c r="F11" s="89">
        <f t="shared" si="0"/>
        <v>5.0999999999999943</v>
      </c>
      <c r="G11" s="89">
        <f t="shared" si="1"/>
        <v>-3</v>
      </c>
      <c r="H11" s="89">
        <v>2.0999999999999943</v>
      </c>
      <c r="I11" s="87" t="s">
        <v>305</v>
      </c>
      <c r="J11" s="89" t="s">
        <v>52</v>
      </c>
      <c r="K11" s="89" t="s">
        <v>226</v>
      </c>
    </row>
    <row r="12" spans="3:11" ht="15" customHeight="1" thickBot="1" x14ac:dyDescent="0.3">
      <c r="C12" s="88">
        <v>350171003</v>
      </c>
      <c r="D12" s="88">
        <v>65</v>
      </c>
      <c r="E12" s="88">
        <v>62.2</v>
      </c>
      <c r="F12" s="89">
        <f t="shared" si="0"/>
        <v>2.7999999999999972</v>
      </c>
      <c r="G12" s="89">
        <f t="shared" si="1"/>
        <v>-1.5</v>
      </c>
      <c r="H12" s="88">
        <v>1.2999999999999972</v>
      </c>
      <c r="I12" s="80" t="s">
        <v>303</v>
      </c>
      <c r="J12" s="88" t="s">
        <v>53</v>
      </c>
      <c r="K12" s="88" t="s">
        <v>299</v>
      </c>
    </row>
    <row r="13" spans="3:11" ht="15" customHeight="1" thickBot="1" x14ac:dyDescent="0.3">
      <c r="C13" s="89">
        <v>350290003</v>
      </c>
      <c r="D13" s="89">
        <v>63</v>
      </c>
      <c r="E13" s="89">
        <v>59.2</v>
      </c>
      <c r="F13" s="89">
        <f t="shared" si="0"/>
        <v>3.7999999999999972</v>
      </c>
      <c r="G13" s="89">
        <f t="shared" si="1"/>
        <v>-1.8999999999999986</v>
      </c>
      <c r="H13" s="89">
        <v>1.8999999999999986</v>
      </c>
      <c r="I13" s="87" t="s">
        <v>304</v>
      </c>
      <c r="J13" s="89" t="s">
        <v>54</v>
      </c>
      <c r="K13" s="89" t="s">
        <v>227</v>
      </c>
    </row>
    <row r="14" spans="3:11" ht="15" customHeight="1" thickBot="1" x14ac:dyDescent="0.3">
      <c r="C14" s="88">
        <v>481410029</v>
      </c>
      <c r="D14" s="88">
        <v>65</v>
      </c>
      <c r="E14" s="88">
        <v>59.5</v>
      </c>
      <c r="F14" s="89">
        <f t="shared" si="0"/>
        <v>5.5</v>
      </c>
      <c r="G14" s="89">
        <f t="shared" si="1"/>
        <v>0.20000000000000284</v>
      </c>
      <c r="H14" s="88">
        <v>5.7000000000000028</v>
      </c>
      <c r="I14" s="80" t="s">
        <v>230</v>
      </c>
      <c r="J14" s="88" t="s">
        <v>56</v>
      </c>
      <c r="K14" s="88" t="s">
        <v>237</v>
      </c>
    </row>
    <row r="15" spans="3:11" ht="15" customHeight="1" thickBot="1" x14ac:dyDescent="0.3">
      <c r="C15" s="89">
        <v>481410037</v>
      </c>
      <c r="D15" s="120">
        <v>71</v>
      </c>
      <c r="E15" s="89">
        <v>64.5</v>
      </c>
      <c r="F15" s="89">
        <f t="shared" si="0"/>
        <v>6.5</v>
      </c>
      <c r="G15" s="89">
        <f t="shared" si="1"/>
        <v>0.29999999999999716</v>
      </c>
      <c r="H15" s="89">
        <v>6.7999999999999972</v>
      </c>
      <c r="I15" s="87" t="s">
        <v>231</v>
      </c>
      <c r="J15" s="89" t="s">
        <v>56</v>
      </c>
      <c r="K15" s="89" t="s">
        <v>238</v>
      </c>
    </row>
    <row r="16" spans="3:11" ht="15" customHeight="1" thickBot="1" x14ac:dyDescent="0.3">
      <c r="C16" s="88">
        <v>481410044</v>
      </c>
      <c r="D16" s="88">
        <v>69</v>
      </c>
      <c r="E16" s="88">
        <v>63.1</v>
      </c>
      <c r="F16" s="89">
        <f t="shared" si="0"/>
        <v>5.8999999999999986</v>
      </c>
      <c r="G16" s="89">
        <f t="shared" si="1"/>
        <v>0.5</v>
      </c>
      <c r="H16" s="88">
        <v>6.3999999999999986</v>
      </c>
      <c r="I16" s="80" t="s">
        <v>232</v>
      </c>
      <c r="J16" s="88" t="s">
        <v>56</v>
      </c>
      <c r="K16" s="88" t="s">
        <v>239</v>
      </c>
    </row>
    <row r="17" spans="3:11" ht="15" customHeight="1" thickBot="1" x14ac:dyDescent="0.3">
      <c r="C17" s="89">
        <v>481410055</v>
      </c>
      <c r="D17" s="89">
        <v>66.3</v>
      </c>
      <c r="E17" s="89">
        <v>60.4</v>
      </c>
      <c r="F17" s="89">
        <f t="shared" si="0"/>
        <v>5.8999999999999986</v>
      </c>
      <c r="G17" s="89">
        <f t="shared" si="1"/>
        <v>0.5</v>
      </c>
      <c r="H17" s="89">
        <v>6.3999999999999986</v>
      </c>
      <c r="I17" s="87" t="s">
        <v>233</v>
      </c>
      <c r="J17" s="89" t="s">
        <v>56</v>
      </c>
      <c r="K17" s="89" t="s">
        <v>240</v>
      </c>
    </row>
    <row r="18" spans="3:11" ht="15" customHeight="1" thickBot="1" x14ac:dyDescent="0.3">
      <c r="C18" s="88">
        <v>481410057</v>
      </c>
      <c r="D18" s="88">
        <v>66</v>
      </c>
      <c r="E18" s="88">
        <v>60.7</v>
      </c>
      <c r="F18" s="89">
        <f t="shared" si="0"/>
        <v>5.2999999999999972</v>
      </c>
      <c r="G18" s="89">
        <f t="shared" si="1"/>
        <v>0.40000000000000568</v>
      </c>
      <c r="H18" s="88">
        <v>5.7000000000000028</v>
      </c>
      <c r="I18" s="80" t="s">
        <v>234</v>
      </c>
      <c r="J18" s="88" t="s">
        <v>56</v>
      </c>
      <c r="K18" s="88" t="s">
        <v>241</v>
      </c>
    </row>
    <row r="19" spans="3:11" ht="15" customHeight="1" thickBot="1" x14ac:dyDescent="0.3">
      <c r="C19" s="89">
        <v>481410058</v>
      </c>
      <c r="D19" s="89">
        <v>69.3</v>
      </c>
      <c r="E19" s="89">
        <v>64.400000000000006</v>
      </c>
      <c r="F19" s="89">
        <f t="shared" si="0"/>
        <v>4.8999999999999915</v>
      </c>
      <c r="G19" s="89">
        <f t="shared" si="1"/>
        <v>0.40000000000000568</v>
      </c>
      <c r="H19" s="89">
        <v>5.2999999999999972</v>
      </c>
      <c r="I19" s="87" t="s">
        <v>235</v>
      </c>
      <c r="J19" s="89" t="s">
        <v>56</v>
      </c>
      <c r="K19" s="89" t="s">
        <v>242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7"/>
  <sheetViews>
    <sheetView topLeftCell="AG94" zoomScale="90" zoomScaleNormal="90" workbookViewId="0">
      <pane xSplit="36495" topLeftCell="AQ1"/>
      <selection activeCell="AH130" sqref="AH130"/>
      <selection pane="topRight" activeCell="AQ31" sqref="AQ31"/>
    </sheetView>
  </sheetViews>
  <sheetFormatPr defaultRowHeight="15" x14ac:dyDescent="0.25"/>
  <cols>
    <col min="1" max="1" width="11.5703125" customWidth="1"/>
    <col min="2" max="2" width="11.140625" bestFit="1" customWidth="1"/>
    <col min="3" max="3" width="12.85546875" bestFit="1" customWidth="1"/>
    <col min="4" max="4" width="12" bestFit="1" customWidth="1"/>
    <col min="5" max="5" width="9.5703125" bestFit="1" customWidth="1"/>
    <col min="6" max="6" width="14.28515625" bestFit="1" customWidth="1"/>
    <col min="7" max="38" width="23.42578125" bestFit="1" customWidth="1"/>
    <col min="39" max="39" width="18" bestFit="1" customWidth="1"/>
    <col min="40" max="40" width="25.140625" bestFit="1" customWidth="1"/>
    <col min="41" max="41" width="13.7109375" bestFit="1" customWidth="1"/>
    <col min="42" max="42" width="18.85546875" bestFit="1" customWidth="1"/>
  </cols>
  <sheetData>
    <row r="1" spans="1:39" ht="21" x14ac:dyDescent="0.35">
      <c r="A1" s="14" t="s">
        <v>161</v>
      </c>
    </row>
    <row r="2" spans="1:39" x14ac:dyDescent="0.25">
      <c r="A2" s="1" t="s">
        <v>57</v>
      </c>
      <c r="B2" s="1" t="s">
        <v>58</v>
      </c>
      <c r="C2" s="1" t="s">
        <v>59</v>
      </c>
      <c r="D2" s="1" t="s">
        <v>60</v>
      </c>
      <c r="E2" s="1" t="s">
        <v>61</v>
      </c>
      <c r="F2" s="1" t="s">
        <v>49</v>
      </c>
      <c r="G2" s="1" t="s">
        <v>17</v>
      </c>
      <c r="H2" s="1" t="s">
        <v>18</v>
      </c>
      <c r="I2" s="1" t="s">
        <v>19</v>
      </c>
      <c r="J2" s="1" t="s">
        <v>20</v>
      </c>
      <c r="K2" s="1" t="s">
        <v>21</v>
      </c>
      <c r="L2" s="1" t="s">
        <v>22</v>
      </c>
      <c r="M2" s="1" t="s">
        <v>23</v>
      </c>
      <c r="N2" s="1" t="s">
        <v>24</v>
      </c>
      <c r="O2" s="1" t="s">
        <v>25</v>
      </c>
      <c r="P2" s="1" t="s">
        <v>26</v>
      </c>
      <c r="Q2" s="1" t="s">
        <v>27</v>
      </c>
      <c r="R2" s="1" t="s">
        <v>28</v>
      </c>
      <c r="S2" s="1" t="s">
        <v>29</v>
      </c>
      <c r="T2" s="1" t="s">
        <v>30</v>
      </c>
      <c r="U2" s="1" t="s">
        <v>31</v>
      </c>
      <c r="V2" s="1" t="s">
        <v>32</v>
      </c>
      <c r="W2" s="1" t="s">
        <v>33</v>
      </c>
      <c r="X2" s="1" t="s">
        <v>34</v>
      </c>
      <c r="Y2" s="1" t="s">
        <v>35</v>
      </c>
      <c r="Z2" s="1" t="s">
        <v>36</v>
      </c>
      <c r="AA2" s="1" t="s">
        <v>37</v>
      </c>
      <c r="AB2" s="1" t="s">
        <v>38</v>
      </c>
      <c r="AC2" s="1" t="s">
        <v>39</v>
      </c>
      <c r="AD2" s="1" t="s">
        <v>40</v>
      </c>
      <c r="AE2" s="1" t="s">
        <v>41</v>
      </c>
      <c r="AF2" s="1" t="s">
        <v>42</v>
      </c>
      <c r="AG2" s="1" t="s">
        <v>43</v>
      </c>
      <c r="AH2" s="1" t="s">
        <v>44</v>
      </c>
      <c r="AI2" s="1" t="s">
        <v>45</v>
      </c>
      <c r="AJ2" s="1" t="s">
        <v>46</v>
      </c>
      <c r="AK2" s="1" t="s">
        <v>47</v>
      </c>
      <c r="AL2" s="1" t="s">
        <v>48</v>
      </c>
      <c r="AM2" s="13" t="s">
        <v>186</v>
      </c>
    </row>
    <row r="3" spans="1:39" x14ac:dyDescent="0.25">
      <c r="A3">
        <v>350130008</v>
      </c>
      <c r="B3">
        <v>31.930555999999999</v>
      </c>
      <c r="C3">
        <v>-106.630556</v>
      </c>
      <c r="D3" t="s">
        <v>50</v>
      </c>
      <c r="E3" t="s">
        <v>51</v>
      </c>
      <c r="F3">
        <v>64.666700000000006</v>
      </c>
      <c r="G3">
        <v>64.272199999999998</v>
      </c>
      <c r="H3">
        <v>63.91</v>
      </c>
      <c r="I3">
        <v>63.244</v>
      </c>
      <c r="J3">
        <v>64.608400000000003</v>
      </c>
      <c r="K3">
        <v>64.563199999999995</v>
      </c>
      <c r="L3">
        <v>64.653700000000001</v>
      </c>
      <c r="M3">
        <v>64.660200000000003</v>
      </c>
      <c r="N3">
        <v>64.660200000000003</v>
      </c>
      <c r="O3">
        <v>63.638399999999997</v>
      </c>
      <c r="P3">
        <v>60.417999999999999</v>
      </c>
      <c r="Q3">
        <v>62.396799999999999</v>
      </c>
      <c r="R3">
        <v>64.530799999999999</v>
      </c>
      <c r="S3">
        <v>64.343299999999999</v>
      </c>
      <c r="T3">
        <v>63.787199999999999</v>
      </c>
      <c r="U3">
        <v>63.793599999999998</v>
      </c>
      <c r="V3">
        <v>64.608400000000003</v>
      </c>
      <c r="W3">
        <v>64.420900000000003</v>
      </c>
      <c r="X3">
        <v>63.871200000000002</v>
      </c>
      <c r="Y3">
        <v>64.660200000000003</v>
      </c>
      <c r="Z3">
        <v>64.653700000000001</v>
      </c>
      <c r="AA3">
        <v>64.634299999999996</v>
      </c>
      <c r="AB3">
        <v>64.323899999999995</v>
      </c>
      <c r="AC3">
        <v>63.418599999999998</v>
      </c>
      <c r="AD3">
        <v>64.582599999999999</v>
      </c>
      <c r="AE3">
        <v>64.653700000000001</v>
      </c>
      <c r="AF3">
        <v>64.317400000000006</v>
      </c>
      <c r="AG3">
        <v>63.806600000000003</v>
      </c>
      <c r="AH3">
        <v>64.647199999999998</v>
      </c>
      <c r="AI3">
        <v>64.614900000000006</v>
      </c>
      <c r="AJ3">
        <v>64.427400000000006</v>
      </c>
      <c r="AK3">
        <v>64.621399999999994</v>
      </c>
      <c r="AL3">
        <v>64.660200000000003</v>
      </c>
      <c r="AM3">
        <v>17.046099999999999</v>
      </c>
    </row>
    <row r="4" spans="1:39" x14ac:dyDescent="0.25">
      <c r="A4">
        <v>350130017</v>
      </c>
      <c r="B4">
        <v>31.795832999999998</v>
      </c>
      <c r="C4">
        <v>-106.5575</v>
      </c>
      <c r="D4" t="s">
        <v>50</v>
      </c>
      <c r="E4" t="s">
        <v>51</v>
      </c>
      <c r="F4">
        <v>66.666700000000006</v>
      </c>
      <c r="G4">
        <v>66.173299999999998</v>
      </c>
      <c r="H4">
        <v>65.886600000000001</v>
      </c>
      <c r="I4">
        <v>65.2</v>
      </c>
      <c r="J4">
        <v>66.586600000000004</v>
      </c>
      <c r="K4">
        <v>66.633300000000006</v>
      </c>
      <c r="L4">
        <v>66.653300000000002</v>
      </c>
      <c r="M4">
        <v>66.66</v>
      </c>
      <c r="N4">
        <v>66.6066</v>
      </c>
      <c r="O4">
        <v>65.7333</v>
      </c>
      <c r="P4">
        <v>63.6</v>
      </c>
      <c r="Q4">
        <v>63.826599999999999</v>
      </c>
      <c r="R4">
        <v>66.506600000000006</v>
      </c>
      <c r="S4">
        <v>66.36</v>
      </c>
      <c r="T4">
        <v>65.900000000000006</v>
      </c>
      <c r="U4">
        <v>65.686599999999999</v>
      </c>
      <c r="V4">
        <v>66.599999999999994</v>
      </c>
      <c r="W4">
        <v>66.44</v>
      </c>
      <c r="X4">
        <v>65.9666</v>
      </c>
      <c r="Y4">
        <v>66.66</v>
      </c>
      <c r="Z4">
        <v>66.653300000000002</v>
      </c>
      <c r="AA4">
        <v>66.540000000000006</v>
      </c>
      <c r="AB4">
        <v>66.42</v>
      </c>
      <c r="AC4">
        <v>65.3733</v>
      </c>
      <c r="AD4">
        <v>66.553299999999993</v>
      </c>
      <c r="AE4">
        <v>66.646600000000007</v>
      </c>
      <c r="AF4">
        <v>66.319999999999993</v>
      </c>
      <c r="AG4">
        <v>65.56</v>
      </c>
      <c r="AH4">
        <v>66.64</v>
      </c>
      <c r="AI4">
        <v>66.613299999999995</v>
      </c>
      <c r="AJ4">
        <v>66.346599999999995</v>
      </c>
      <c r="AK4">
        <v>66.573300000000003</v>
      </c>
      <c r="AL4">
        <v>66.653300000000002</v>
      </c>
      <c r="AM4">
        <v>16.86</v>
      </c>
    </row>
    <row r="5" spans="1:39" x14ac:dyDescent="0.25">
      <c r="A5">
        <v>350130019</v>
      </c>
      <c r="B5">
        <v>32.424722000000003</v>
      </c>
      <c r="C5">
        <v>-106.674167</v>
      </c>
      <c r="D5" t="s">
        <v>50</v>
      </c>
      <c r="E5" t="s">
        <v>51</v>
      </c>
      <c r="F5">
        <v>-9</v>
      </c>
      <c r="G5">
        <v>-9</v>
      </c>
      <c r="H5">
        <v>-9</v>
      </c>
      <c r="I5">
        <v>-9</v>
      </c>
      <c r="J5">
        <v>-9</v>
      </c>
      <c r="K5">
        <v>-9</v>
      </c>
      <c r="L5">
        <v>-9</v>
      </c>
      <c r="M5">
        <v>-9</v>
      </c>
      <c r="N5">
        <v>-9</v>
      </c>
      <c r="O5">
        <v>-9</v>
      </c>
      <c r="P5">
        <v>-9</v>
      </c>
      <c r="Q5">
        <v>-9</v>
      </c>
      <c r="R5">
        <v>-9</v>
      </c>
      <c r="S5">
        <v>-9</v>
      </c>
      <c r="T5">
        <v>-9</v>
      </c>
      <c r="U5">
        <v>-9</v>
      </c>
      <c r="V5">
        <v>-9</v>
      </c>
      <c r="W5">
        <v>-9</v>
      </c>
      <c r="X5">
        <v>-9</v>
      </c>
      <c r="Y5">
        <v>-9</v>
      </c>
      <c r="Z5">
        <v>-9</v>
      </c>
      <c r="AA5">
        <v>-9</v>
      </c>
      <c r="AB5">
        <v>-9</v>
      </c>
      <c r="AC5">
        <v>-9</v>
      </c>
      <c r="AD5">
        <v>-9</v>
      </c>
      <c r="AE5">
        <v>-9</v>
      </c>
      <c r="AF5">
        <v>-9</v>
      </c>
      <c r="AG5">
        <v>-9</v>
      </c>
      <c r="AH5">
        <v>-9</v>
      </c>
      <c r="AI5">
        <v>-9</v>
      </c>
      <c r="AJ5">
        <v>-9</v>
      </c>
      <c r="AK5">
        <v>-9</v>
      </c>
      <c r="AL5">
        <v>-9</v>
      </c>
      <c r="AM5">
        <v>-9</v>
      </c>
    </row>
    <row r="6" spans="1:39" x14ac:dyDescent="0.25">
      <c r="A6">
        <v>350130020</v>
      </c>
      <c r="B6">
        <v>32.041111000000001</v>
      </c>
      <c r="C6">
        <v>-106.409167</v>
      </c>
      <c r="D6" t="s">
        <v>50</v>
      </c>
      <c r="E6" t="s">
        <v>51</v>
      </c>
      <c r="F6">
        <v>67.666700000000006</v>
      </c>
      <c r="G6">
        <v>67.186199999999999</v>
      </c>
      <c r="H6">
        <v>66.962900000000005</v>
      </c>
      <c r="I6">
        <v>66.177999999999997</v>
      </c>
      <c r="J6">
        <v>67.510999999999996</v>
      </c>
      <c r="K6">
        <v>67.592200000000005</v>
      </c>
      <c r="L6">
        <v>67.653099999999995</v>
      </c>
      <c r="M6">
        <v>67.653099999999995</v>
      </c>
      <c r="N6">
        <v>67.632800000000003</v>
      </c>
      <c r="O6">
        <v>66.570400000000006</v>
      </c>
      <c r="P6">
        <v>63.748699999999999</v>
      </c>
      <c r="Q6">
        <v>65.744900000000001</v>
      </c>
      <c r="R6">
        <v>67.260599999999997</v>
      </c>
      <c r="S6">
        <v>67.341800000000006</v>
      </c>
      <c r="T6">
        <v>66.678700000000006</v>
      </c>
      <c r="U6">
        <v>66.712500000000006</v>
      </c>
      <c r="V6">
        <v>67.497500000000002</v>
      </c>
      <c r="W6">
        <v>67.477199999999996</v>
      </c>
      <c r="X6">
        <v>67.016999999999996</v>
      </c>
      <c r="Y6">
        <v>67.659899999999993</v>
      </c>
      <c r="Z6">
        <v>67.653099999999995</v>
      </c>
      <c r="AA6">
        <v>67.626000000000005</v>
      </c>
      <c r="AB6">
        <v>66.611000000000004</v>
      </c>
      <c r="AC6">
        <v>66.9358</v>
      </c>
      <c r="AD6">
        <v>67.477199999999996</v>
      </c>
      <c r="AE6">
        <v>67.653099999999995</v>
      </c>
      <c r="AF6">
        <v>67.240300000000005</v>
      </c>
      <c r="AG6">
        <v>67.023799999999994</v>
      </c>
      <c r="AH6">
        <v>67.626000000000005</v>
      </c>
      <c r="AI6">
        <v>67.632800000000003</v>
      </c>
      <c r="AJ6">
        <v>67.416300000000007</v>
      </c>
      <c r="AK6">
        <v>67.632800000000003</v>
      </c>
      <c r="AL6">
        <v>67.639600000000002</v>
      </c>
      <c r="AM6">
        <v>17.288799999999998</v>
      </c>
    </row>
    <row r="7" spans="1:39" x14ac:dyDescent="0.25">
      <c r="A7">
        <v>350130021</v>
      </c>
      <c r="B7">
        <v>31.796111</v>
      </c>
      <c r="C7">
        <v>-106.583889</v>
      </c>
      <c r="D7" t="s">
        <v>50</v>
      </c>
      <c r="E7" t="s">
        <v>51</v>
      </c>
      <c r="F7">
        <v>71</v>
      </c>
      <c r="G7">
        <v>70.488699999999994</v>
      </c>
      <c r="H7">
        <v>70.140900000000002</v>
      </c>
      <c r="I7">
        <v>69.636700000000005</v>
      </c>
      <c r="J7">
        <v>70.921800000000005</v>
      </c>
      <c r="K7">
        <v>70.964500000000001</v>
      </c>
      <c r="L7">
        <v>70.992900000000006</v>
      </c>
      <c r="M7">
        <v>70.992900000000006</v>
      </c>
      <c r="N7">
        <v>70.943200000000004</v>
      </c>
      <c r="O7">
        <v>69.899500000000003</v>
      </c>
      <c r="P7">
        <v>67.613299999999995</v>
      </c>
      <c r="Q7">
        <v>68.309100000000001</v>
      </c>
      <c r="R7">
        <v>70.815299999999993</v>
      </c>
      <c r="S7">
        <v>70.644900000000007</v>
      </c>
      <c r="T7">
        <v>70.197599999999994</v>
      </c>
      <c r="U7">
        <v>70.091200000000001</v>
      </c>
      <c r="V7">
        <v>70.929000000000002</v>
      </c>
      <c r="W7">
        <v>70.787000000000006</v>
      </c>
      <c r="X7">
        <v>70.133799999999994</v>
      </c>
      <c r="Y7">
        <v>70.992900000000006</v>
      </c>
      <c r="Z7">
        <v>70.985699999999994</v>
      </c>
      <c r="AA7">
        <v>70.864999999999995</v>
      </c>
      <c r="AB7">
        <v>70.715900000000005</v>
      </c>
      <c r="AC7">
        <v>69.452100000000002</v>
      </c>
      <c r="AD7">
        <v>70.872100000000003</v>
      </c>
      <c r="AE7">
        <v>70.985699999999994</v>
      </c>
      <c r="AF7">
        <v>70.652100000000004</v>
      </c>
      <c r="AG7">
        <v>70.020200000000003</v>
      </c>
      <c r="AH7">
        <v>70.971599999999995</v>
      </c>
      <c r="AI7">
        <v>70.943200000000004</v>
      </c>
      <c r="AJ7">
        <v>70.694599999999994</v>
      </c>
      <c r="AK7">
        <v>70.921800000000005</v>
      </c>
      <c r="AL7">
        <v>70.985699999999994</v>
      </c>
      <c r="AM7">
        <v>17.4588</v>
      </c>
    </row>
    <row r="8" spans="1:39" x14ac:dyDescent="0.25">
      <c r="A8">
        <v>350130022</v>
      </c>
      <c r="B8">
        <v>31.787777999999999</v>
      </c>
      <c r="C8">
        <v>-106.682778</v>
      </c>
      <c r="D8" t="s">
        <v>50</v>
      </c>
      <c r="E8" t="s">
        <v>51</v>
      </c>
      <c r="F8">
        <v>70.333299999999994</v>
      </c>
      <c r="G8">
        <v>69.855000000000004</v>
      </c>
      <c r="H8">
        <v>69.433000000000007</v>
      </c>
      <c r="I8">
        <v>69.496300000000005</v>
      </c>
      <c r="J8">
        <v>70.262900000000002</v>
      </c>
      <c r="K8">
        <v>70.298100000000005</v>
      </c>
      <c r="L8">
        <v>70.312200000000004</v>
      </c>
      <c r="M8">
        <v>70.3262</v>
      </c>
      <c r="N8">
        <v>70.277000000000001</v>
      </c>
      <c r="O8">
        <v>69.081299999999999</v>
      </c>
      <c r="P8">
        <v>66.535300000000007</v>
      </c>
      <c r="Q8">
        <v>68.335800000000006</v>
      </c>
      <c r="R8">
        <v>70.171499999999995</v>
      </c>
      <c r="S8">
        <v>69.946399999999997</v>
      </c>
      <c r="T8">
        <v>69.426000000000002</v>
      </c>
      <c r="U8">
        <v>69.791700000000006</v>
      </c>
      <c r="V8">
        <v>70.27</v>
      </c>
      <c r="W8">
        <v>70.115200000000002</v>
      </c>
      <c r="X8">
        <v>69.123500000000007</v>
      </c>
      <c r="Y8">
        <v>70.3262</v>
      </c>
      <c r="Z8">
        <v>70.319199999999995</v>
      </c>
      <c r="AA8">
        <v>70.199600000000004</v>
      </c>
      <c r="AB8">
        <v>70.002700000000004</v>
      </c>
      <c r="AC8">
        <v>68.708600000000004</v>
      </c>
      <c r="AD8">
        <v>70.213700000000003</v>
      </c>
      <c r="AE8">
        <v>70.312200000000004</v>
      </c>
      <c r="AF8">
        <v>69.946399999999997</v>
      </c>
      <c r="AG8">
        <v>69.932400000000001</v>
      </c>
      <c r="AH8">
        <v>70.305099999999996</v>
      </c>
      <c r="AI8">
        <v>70.277000000000001</v>
      </c>
      <c r="AJ8">
        <v>70.072999999999993</v>
      </c>
      <c r="AK8">
        <v>70.277000000000001</v>
      </c>
      <c r="AL8">
        <v>70.319199999999995</v>
      </c>
      <c r="AM8">
        <v>16.535299999999999</v>
      </c>
    </row>
    <row r="9" spans="1:39" x14ac:dyDescent="0.25">
      <c r="A9">
        <v>350130023</v>
      </c>
      <c r="B9">
        <v>32.317500000000003</v>
      </c>
      <c r="C9">
        <v>-106.76777800000001</v>
      </c>
      <c r="D9" t="s">
        <v>50</v>
      </c>
      <c r="E9" t="s">
        <v>51</v>
      </c>
      <c r="F9">
        <v>64.333299999999994</v>
      </c>
      <c r="G9">
        <v>63.6706</v>
      </c>
      <c r="H9">
        <v>63.728499999999997</v>
      </c>
      <c r="I9">
        <v>63.368299999999998</v>
      </c>
      <c r="J9">
        <v>64.236800000000002</v>
      </c>
      <c r="K9">
        <v>64.217500000000001</v>
      </c>
      <c r="L9">
        <v>64.326800000000006</v>
      </c>
      <c r="M9">
        <v>64.326800000000006</v>
      </c>
      <c r="N9">
        <v>64.326800000000006</v>
      </c>
      <c r="O9">
        <v>60.325299999999999</v>
      </c>
      <c r="P9">
        <v>63.149500000000003</v>
      </c>
      <c r="Q9">
        <v>63.561300000000003</v>
      </c>
      <c r="R9">
        <v>64.043800000000005</v>
      </c>
      <c r="S9">
        <v>63.426200000000001</v>
      </c>
      <c r="T9">
        <v>63.940800000000003</v>
      </c>
      <c r="U9">
        <v>63.844299999999997</v>
      </c>
      <c r="V9">
        <v>64.204599999999999</v>
      </c>
      <c r="W9">
        <v>64.075900000000004</v>
      </c>
      <c r="X9">
        <v>63.625599999999999</v>
      </c>
      <c r="Y9">
        <v>64.326800000000006</v>
      </c>
      <c r="Z9">
        <v>64.320400000000006</v>
      </c>
      <c r="AA9">
        <v>64.268900000000002</v>
      </c>
      <c r="AB9">
        <v>64.108099999999993</v>
      </c>
      <c r="AC9">
        <v>63.439</v>
      </c>
      <c r="AD9">
        <v>64.146699999999996</v>
      </c>
      <c r="AE9">
        <v>64.262500000000003</v>
      </c>
      <c r="AF9">
        <v>64.204599999999999</v>
      </c>
      <c r="AG9">
        <v>64.043800000000005</v>
      </c>
      <c r="AH9">
        <v>64.288200000000003</v>
      </c>
      <c r="AI9">
        <v>64.165999999999997</v>
      </c>
      <c r="AJ9">
        <v>64.288200000000003</v>
      </c>
      <c r="AK9">
        <v>64.326800000000006</v>
      </c>
      <c r="AL9">
        <v>64.307500000000005</v>
      </c>
      <c r="AM9">
        <v>13.850899999999999</v>
      </c>
    </row>
    <row r="10" spans="1:39" x14ac:dyDescent="0.25">
      <c r="A10">
        <v>350131012</v>
      </c>
      <c r="B10">
        <v>32.281388999999997</v>
      </c>
      <c r="C10">
        <v>-106.767222</v>
      </c>
      <c r="D10" t="s">
        <v>50</v>
      </c>
      <c r="E10" t="s">
        <v>51</v>
      </c>
      <c r="F10">
        <v>-9</v>
      </c>
      <c r="G10">
        <v>-9</v>
      </c>
      <c r="H10">
        <v>-9</v>
      </c>
      <c r="I10">
        <v>-9</v>
      </c>
      <c r="J10">
        <v>-9</v>
      </c>
      <c r="K10">
        <v>-9</v>
      </c>
      <c r="L10">
        <v>-9</v>
      </c>
      <c r="M10">
        <v>-9</v>
      </c>
      <c r="N10">
        <v>-9</v>
      </c>
      <c r="O10">
        <v>-9</v>
      </c>
      <c r="P10">
        <v>-9</v>
      </c>
      <c r="Q10">
        <v>-9</v>
      </c>
      <c r="R10">
        <v>-9</v>
      </c>
      <c r="S10">
        <v>-9</v>
      </c>
      <c r="T10">
        <v>-9</v>
      </c>
      <c r="U10">
        <v>-9</v>
      </c>
      <c r="V10">
        <v>-9</v>
      </c>
      <c r="W10">
        <v>-9</v>
      </c>
      <c r="X10">
        <v>-9</v>
      </c>
      <c r="Y10">
        <v>-9</v>
      </c>
      <c r="Z10">
        <v>-9</v>
      </c>
      <c r="AA10">
        <v>-9</v>
      </c>
      <c r="AB10">
        <v>-9</v>
      </c>
      <c r="AC10">
        <v>-9</v>
      </c>
      <c r="AD10">
        <v>-9</v>
      </c>
      <c r="AE10">
        <v>-9</v>
      </c>
      <c r="AF10">
        <v>-9</v>
      </c>
      <c r="AG10">
        <v>-9</v>
      </c>
      <c r="AH10">
        <v>-9</v>
      </c>
      <c r="AI10">
        <v>-9</v>
      </c>
      <c r="AJ10">
        <v>-9</v>
      </c>
      <c r="AK10">
        <v>-9</v>
      </c>
      <c r="AL10">
        <v>-9</v>
      </c>
      <c r="AM10">
        <v>-9</v>
      </c>
    </row>
    <row r="11" spans="1:39" x14ac:dyDescent="0.25">
      <c r="A11">
        <v>350151005</v>
      </c>
      <c r="B11">
        <v>32.380000000000003</v>
      </c>
      <c r="C11">
        <v>-104.26222199999999</v>
      </c>
      <c r="D11" t="s">
        <v>50</v>
      </c>
      <c r="E11" t="s">
        <v>52</v>
      </c>
      <c r="F11">
        <v>70</v>
      </c>
      <c r="G11">
        <v>69.727000000000004</v>
      </c>
      <c r="H11">
        <v>69.418899999999994</v>
      </c>
      <c r="I11">
        <v>69.460899999999995</v>
      </c>
      <c r="J11">
        <v>69.978899999999996</v>
      </c>
      <c r="K11">
        <v>69.950900000000004</v>
      </c>
      <c r="L11">
        <v>69.986000000000004</v>
      </c>
      <c r="M11">
        <v>69.986000000000004</v>
      </c>
      <c r="N11">
        <v>69.825000000000003</v>
      </c>
      <c r="O11">
        <v>69.313900000000004</v>
      </c>
      <c r="P11">
        <v>69.355900000000005</v>
      </c>
      <c r="Q11">
        <v>69.600899999999996</v>
      </c>
      <c r="R11">
        <v>69.923000000000002</v>
      </c>
      <c r="S11">
        <v>69.817899999999995</v>
      </c>
      <c r="T11">
        <v>69.691999999999993</v>
      </c>
      <c r="U11">
        <v>69.894999999999996</v>
      </c>
      <c r="V11">
        <v>69.965000000000003</v>
      </c>
      <c r="W11">
        <v>67.941999999999993</v>
      </c>
      <c r="X11">
        <v>67.557000000000002</v>
      </c>
      <c r="Y11">
        <v>69.992900000000006</v>
      </c>
      <c r="Z11">
        <v>69.965000000000003</v>
      </c>
      <c r="AA11">
        <v>69.796899999999994</v>
      </c>
      <c r="AB11">
        <v>69.846000000000004</v>
      </c>
      <c r="AC11">
        <v>68.445899999999995</v>
      </c>
      <c r="AD11">
        <v>69.944000000000003</v>
      </c>
      <c r="AE11">
        <v>69.965000000000003</v>
      </c>
      <c r="AF11">
        <v>69.936899999999994</v>
      </c>
      <c r="AG11">
        <v>69.986000000000004</v>
      </c>
      <c r="AH11">
        <v>69.978899999999996</v>
      </c>
      <c r="AI11">
        <v>69.965000000000003</v>
      </c>
      <c r="AJ11">
        <v>69.992900000000006</v>
      </c>
      <c r="AK11">
        <v>69.992900000000006</v>
      </c>
      <c r="AL11">
        <v>69.992900000000006</v>
      </c>
      <c r="AM11">
        <v>12.005000000000001</v>
      </c>
    </row>
    <row r="12" spans="1:39" x14ac:dyDescent="0.25">
      <c r="A12">
        <v>350171003</v>
      </c>
      <c r="B12">
        <v>32.691943999999999</v>
      </c>
      <c r="C12">
        <v>-108.124444</v>
      </c>
      <c r="D12" t="s">
        <v>50</v>
      </c>
      <c r="E12" t="s">
        <v>53</v>
      </c>
      <c r="F12">
        <v>65</v>
      </c>
      <c r="G12">
        <v>64.421400000000006</v>
      </c>
      <c r="H12">
        <v>64.688000000000002</v>
      </c>
      <c r="I12">
        <v>64.408500000000004</v>
      </c>
      <c r="J12">
        <v>64.8245</v>
      </c>
      <c r="K12">
        <v>64.889399999999995</v>
      </c>
      <c r="L12">
        <v>64.993399999999994</v>
      </c>
      <c r="M12">
        <v>64.974000000000004</v>
      </c>
      <c r="N12">
        <v>64.980500000000006</v>
      </c>
      <c r="O12">
        <v>63.686900000000001</v>
      </c>
      <c r="P12">
        <v>64.545000000000002</v>
      </c>
      <c r="Q12">
        <v>64.662000000000006</v>
      </c>
      <c r="R12">
        <v>64.219899999999996</v>
      </c>
      <c r="S12">
        <v>64.48</v>
      </c>
      <c r="T12">
        <v>64.811400000000006</v>
      </c>
      <c r="U12">
        <v>64.649000000000001</v>
      </c>
      <c r="V12">
        <v>64.688000000000002</v>
      </c>
      <c r="W12">
        <v>64.727000000000004</v>
      </c>
      <c r="X12">
        <v>64.356399999999994</v>
      </c>
      <c r="Y12">
        <v>64.993399999999994</v>
      </c>
      <c r="Z12">
        <v>64.974000000000004</v>
      </c>
      <c r="AA12">
        <v>64.915499999999994</v>
      </c>
      <c r="AB12">
        <v>64.915499999999994</v>
      </c>
      <c r="AC12">
        <v>64.590500000000006</v>
      </c>
      <c r="AD12">
        <v>64.733500000000006</v>
      </c>
      <c r="AE12">
        <v>64.980500000000006</v>
      </c>
      <c r="AF12">
        <v>64.947900000000004</v>
      </c>
      <c r="AG12">
        <v>64.831000000000003</v>
      </c>
      <c r="AH12">
        <v>64.915499999999994</v>
      </c>
      <c r="AI12">
        <v>64.967500000000001</v>
      </c>
      <c r="AJ12">
        <v>64.986900000000006</v>
      </c>
      <c r="AK12">
        <v>64.993399999999994</v>
      </c>
      <c r="AL12">
        <v>64.928399999999996</v>
      </c>
      <c r="AM12">
        <v>9.5030000000000001</v>
      </c>
    </row>
    <row r="13" spans="1:39" x14ac:dyDescent="0.25">
      <c r="A13">
        <v>350290003</v>
      </c>
      <c r="B13">
        <v>32.255800000000001</v>
      </c>
      <c r="C13">
        <v>-107.7227</v>
      </c>
      <c r="D13" t="s">
        <v>50</v>
      </c>
      <c r="E13" t="s">
        <v>54</v>
      </c>
      <c r="F13">
        <v>63</v>
      </c>
      <c r="G13">
        <v>62.5715</v>
      </c>
      <c r="H13">
        <v>62.533700000000003</v>
      </c>
      <c r="I13">
        <v>62.496000000000002</v>
      </c>
      <c r="J13">
        <v>62.886600000000001</v>
      </c>
      <c r="K13">
        <v>62.905500000000004</v>
      </c>
      <c r="L13">
        <v>62.993699999999997</v>
      </c>
      <c r="M13">
        <v>62.993699999999997</v>
      </c>
      <c r="N13">
        <v>62.149500000000003</v>
      </c>
      <c r="O13">
        <v>60.990200000000002</v>
      </c>
      <c r="P13">
        <v>61.897500000000001</v>
      </c>
      <c r="Q13">
        <v>62.369900000000001</v>
      </c>
      <c r="R13">
        <v>62.546300000000002</v>
      </c>
      <c r="S13">
        <v>62.577800000000003</v>
      </c>
      <c r="T13">
        <v>62.609400000000001</v>
      </c>
      <c r="U13">
        <v>62.703800000000001</v>
      </c>
      <c r="V13">
        <v>62.810899999999997</v>
      </c>
      <c r="W13">
        <v>62.6661</v>
      </c>
      <c r="X13">
        <v>61.960500000000003</v>
      </c>
      <c r="Y13">
        <v>62.993699999999997</v>
      </c>
      <c r="Z13">
        <v>62.981099999999998</v>
      </c>
      <c r="AA13">
        <v>62.880200000000002</v>
      </c>
      <c r="AB13">
        <v>62.804699999999997</v>
      </c>
      <c r="AC13">
        <v>62.300600000000003</v>
      </c>
      <c r="AD13">
        <v>62.754300000000001</v>
      </c>
      <c r="AE13">
        <v>62.974800000000002</v>
      </c>
      <c r="AF13">
        <v>62.880200000000002</v>
      </c>
      <c r="AG13">
        <v>62.792099999999998</v>
      </c>
      <c r="AH13">
        <v>62.936900000000001</v>
      </c>
      <c r="AI13">
        <v>62.955800000000004</v>
      </c>
      <c r="AJ13">
        <v>62.968499999999999</v>
      </c>
      <c r="AK13">
        <v>62.993699999999997</v>
      </c>
      <c r="AL13">
        <v>62.968499999999999</v>
      </c>
      <c r="AM13">
        <v>12.014099999999999</v>
      </c>
    </row>
    <row r="14" spans="1:39" x14ac:dyDescent="0.25">
      <c r="A14">
        <v>481410029</v>
      </c>
      <c r="B14">
        <v>31.785768999999998</v>
      </c>
      <c r="C14">
        <v>-106.323578</v>
      </c>
      <c r="D14" t="s">
        <v>55</v>
      </c>
      <c r="E14" t="s">
        <v>56</v>
      </c>
      <c r="F14">
        <v>65</v>
      </c>
      <c r="G14">
        <v>64.499399999999994</v>
      </c>
      <c r="H14">
        <v>64.122500000000002</v>
      </c>
      <c r="I14">
        <v>63.219000000000001</v>
      </c>
      <c r="J14">
        <v>64.850399999999993</v>
      </c>
      <c r="K14">
        <v>64.960899999999995</v>
      </c>
      <c r="L14">
        <v>64.993399999999994</v>
      </c>
      <c r="M14">
        <v>64.993399999999994</v>
      </c>
      <c r="N14">
        <v>64.980500000000006</v>
      </c>
      <c r="O14">
        <v>64.291399999999996</v>
      </c>
      <c r="P14">
        <v>60.411000000000001</v>
      </c>
      <c r="Q14">
        <v>62.179000000000002</v>
      </c>
      <c r="R14">
        <v>64.681399999999996</v>
      </c>
      <c r="S14">
        <v>64.746399999999994</v>
      </c>
      <c r="T14">
        <v>63.849400000000003</v>
      </c>
      <c r="U14">
        <v>63.810499999999998</v>
      </c>
      <c r="V14">
        <v>64.863500000000002</v>
      </c>
      <c r="W14">
        <v>64.805000000000007</v>
      </c>
      <c r="X14">
        <v>64.48</v>
      </c>
      <c r="Y14">
        <v>64.993399999999994</v>
      </c>
      <c r="Z14">
        <v>64.986900000000006</v>
      </c>
      <c r="AA14">
        <v>64.947900000000004</v>
      </c>
      <c r="AB14">
        <v>64.733500000000006</v>
      </c>
      <c r="AC14">
        <v>64.233000000000004</v>
      </c>
      <c r="AD14">
        <v>64.863500000000002</v>
      </c>
      <c r="AE14">
        <v>64.986900000000006</v>
      </c>
      <c r="AF14">
        <v>64.616500000000002</v>
      </c>
      <c r="AG14">
        <v>64.09</v>
      </c>
      <c r="AH14">
        <v>64.960899999999995</v>
      </c>
      <c r="AI14">
        <v>64.954400000000007</v>
      </c>
      <c r="AJ14">
        <v>64.525499999999994</v>
      </c>
      <c r="AK14">
        <v>64.941500000000005</v>
      </c>
      <c r="AL14">
        <v>64.967500000000001</v>
      </c>
      <c r="AM14">
        <v>18.4209</v>
      </c>
    </row>
    <row r="15" spans="1:39" x14ac:dyDescent="0.25">
      <c r="A15">
        <v>481410037</v>
      </c>
      <c r="B15">
        <v>31.768291000000001</v>
      </c>
      <c r="C15">
        <v>-106.50126</v>
      </c>
      <c r="D15" t="s">
        <v>55</v>
      </c>
      <c r="E15" t="s">
        <v>56</v>
      </c>
      <c r="F15">
        <v>71</v>
      </c>
      <c r="G15">
        <v>70.453199999999995</v>
      </c>
      <c r="H15">
        <v>70.091200000000001</v>
      </c>
      <c r="I15">
        <v>69.338499999999996</v>
      </c>
      <c r="J15">
        <v>70.914699999999996</v>
      </c>
      <c r="K15">
        <v>70.964500000000001</v>
      </c>
      <c r="L15">
        <v>70.985699999999994</v>
      </c>
      <c r="M15">
        <v>70.992900000000006</v>
      </c>
      <c r="N15">
        <v>70.943200000000004</v>
      </c>
      <c r="O15">
        <v>70.034400000000005</v>
      </c>
      <c r="P15">
        <v>67.393199999999993</v>
      </c>
      <c r="Q15">
        <v>67.804900000000004</v>
      </c>
      <c r="R15">
        <v>70.815299999999993</v>
      </c>
      <c r="S15">
        <v>70.673400000000001</v>
      </c>
      <c r="T15">
        <v>70.098200000000006</v>
      </c>
      <c r="U15">
        <v>69.856800000000007</v>
      </c>
      <c r="V15">
        <v>70.929000000000002</v>
      </c>
      <c r="W15">
        <v>70.737200000000001</v>
      </c>
      <c r="X15">
        <v>70.183499999999995</v>
      </c>
      <c r="Y15">
        <v>70.992900000000006</v>
      </c>
      <c r="Z15">
        <v>70.985699999999994</v>
      </c>
      <c r="AA15">
        <v>70.864999999999995</v>
      </c>
      <c r="AB15">
        <v>70.652100000000004</v>
      </c>
      <c r="AC15">
        <v>69.821299999999994</v>
      </c>
      <c r="AD15">
        <v>70.879300000000001</v>
      </c>
      <c r="AE15">
        <v>70.978700000000003</v>
      </c>
      <c r="AF15">
        <v>70.531300000000002</v>
      </c>
      <c r="AG15">
        <v>69.8001</v>
      </c>
      <c r="AH15">
        <v>70.971599999999995</v>
      </c>
      <c r="AI15">
        <v>70.950199999999995</v>
      </c>
      <c r="AJ15">
        <v>70.623599999999996</v>
      </c>
      <c r="AK15">
        <v>70.893500000000003</v>
      </c>
      <c r="AL15">
        <v>70.985699999999994</v>
      </c>
      <c r="AM15">
        <v>18.885999999999999</v>
      </c>
    </row>
    <row r="16" spans="1:39" x14ac:dyDescent="0.25">
      <c r="A16">
        <v>481410044</v>
      </c>
      <c r="B16">
        <v>31.765685000000001</v>
      </c>
      <c r="C16">
        <v>-106.45522699999999</v>
      </c>
      <c r="D16" t="s">
        <v>55</v>
      </c>
      <c r="E16" t="s">
        <v>56</v>
      </c>
      <c r="F16">
        <v>69</v>
      </c>
      <c r="G16">
        <v>68.323700000000002</v>
      </c>
      <c r="H16">
        <v>68.102900000000005</v>
      </c>
      <c r="I16">
        <v>67.206000000000003</v>
      </c>
      <c r="J16">
        <v>68.841300000000004</v>
      </c>
      <c r="K16">
        <v>68.951700000000002</v>
      </c>
      <c r="L16">
        <v>68.992999999999995</v>
      </c>
      <c r="M16">
        <v>68.992999999999995</v>
      </c>
      <c r="N16">
        <v>68.979299999999995</v>
      </c>
      <c r="O16">
        <v>67.923599999999993</v>
      </c>
      <c r="P16">
        <v>65.184200000000004</v>
      </c>
      <c r="Q16">
        <v>65.950100000000006</v>
      </c>
      <c r="R16">
        <v>68.668800000000005</v>
      </c>
      <c r="S16">
        <v>68.641099999999994</v>
      </c>
      <c r="T16">
        <v>68.054599999999994</v>
      </c>
      <c r="U16">
        <v>67.757900000000006</v>
      </c>
      <c r="V16">
        <v>68.855099999999993</v>
      </c>
      <c r="W16">
        <v>68.751499999999993</v>
      </c>
      <c r="X16">
        <v>68.316900000000004</v>
      </c>
      <c r="Y16">
        <v>68.992999999999995</v>
      </c>
      <c r="Z16">
        <v>68.986099999999993</v>
      </c>
      <c r="AA16">
        <v>68.930899999999994</v>
      </c>
      <c r="AB16">
        <v>68.613500000000002</v>
      </c>
      <c r="AC16">
        <v>68.020200000000003</v>
      </c>
      <c r="AD16">
        <v>68.848200000000006</v>
      </c>
      <c r="AE16">
        <v>68.979299999999995</v>
      </c>
      <c r="AF16">
        <v>68.454800000000006</v>
      </c>
      <c r="AG16">
        <v>67.971900000000005</v>
      </c>
      <c r="AH16">
        <v>68.958500000000001</v>
      </c>
      <c r="AI16">
        <v>68.937799999999996</v>
      </c>
      <c r="AJ16">
        <v>68.599800000000002</v>
      </c>
      <c r="AK16">
        <v>68.910300000000007</v>
      </c>
      <c r="AL16">
        <v>68.972399999999993</v>
      </c>
      <c r="AM16">
        <v>19.368300000000001</v>
      </c>
    </row>
    <row r="17" spans="1:42" x14ac:dyDescent="0.25">
      <c r="A17">
        <v>481410055</v>
      </c>
      <c r="B17">
        <v>31.746775</v>
      </c>
      <c r="C17">
        <v>-106.402806</v>
      </c>
      <c r="D17" t="s">
        <v>55</v>
      </c>
      <c r="E17" t="s">
        <v>56</v>
      </c>
      <c r="F17">
        <v>66</v>
      </c>
      <c r="G17">
        <v>65.386200000000002</v>
      </c>
      <c r="H17">
        <v>65.148600000000002</v>
      </c>
      <c r="I17">
        <v>64.303799999999995</v>
      </c>
      <c r="J17">
        <v>65.841499999999996</v>
      </c>
      <c r="K17">
        <v>65.953800000000001</v>
      </c>
      <c r="L17">
        <v>65.993300000000005</v>
      </c>
      <c r="M17">
        <v>65.993300000000005</v>
      </c>
      <c r="N17">
        <v>65.980099999999993</v>
      </c>
      <c r="O17">
        <v>65.069400000000002</v>
      </c>
      <c r="P17">
        <v>62.006900000000002</v>
      </c>
      <c r="Q17">
        <v>62.772500000000001</v>
      </c>
      <c r="R17">
        <v>65.67</v>
      </c>
      <c r="S17">
        <v>65.676500000000004</v>
      </c>
      <c r="T17">
        <v>64.983500000000006</v>
      </c>
      <c r="U17">
        <v>64.798699999999997</v>
      </c>
      <c r="V17">
        <v>65.854699999999994</v>
      </c>
      <c r="W17">
        <v>65.762299999999996</v>
      </c>
      <c r="X17">
        <v>65.353200000000001</v>
      </c>
      <c r="Y17">
        <v>65.993300000000005</v>
      </c>
      <c r="Z17">
        <v>65.986800000000002</v>
      </c>
      <c r="AA17">
        <v>65.940600000000003</v>
      </c>
      <c r="AB17">
        <v>65.676500000000004</v>
      </c>
      <c r="AC17">
        <v>65.128699999999995</v>
      </c>
      <c r="AD17">
        <v>65.848200000000006</v>
      </c>
      <c r="AE17">
        <v>65.980099999999993</v>
      </c>
      <c r="AF17">
        <v>65.610600000000005</v>
      </c>
      <c r="AG17">
        <v>65.023200000000003</v>
      </c>
      <c r="AH17">
        <v>65.960300000000004</v>
      </c>
      <c r="AI17">
        <v>65.947100000000006</v>
      </c>
      <c r="AJ17">
        <v>65.610600000000005</v>
      </c>
      <c r="AK17">
        <v>65.933899999999994</v>
      </c>
      <c r="AL17">
        <v>65.966899999999995</v>
      </c>
      <c r="AM17">
        <v>18.875900000000001</v>
      </c>
    </row>
    <row r="18" spans="1:42" x14ac:dyDescent="0.25">
      <c r="A18">
        <v>481410057</v>
      </c>
      <c r="B18">
        <v>31.6675</v>
      </c>
      <c r="C18">
        <v>-106.288</v>
      </c>
      <c r="D18" t="s">
        <v>55</v>
      </c>
      <c r="E18" t="s">
        <v>56</v>
      </c>
      <c r="F18">
        <v>66</v>
      </c>
      <c r="G18">
        <v>65.412499999999994</v>
      </c>
      <c r="H18">
        <v>65.141900000000007</v>
      </c>
      <c r="I18">
        <v>64.481899999999996</v>
      </c>
      <c r="J18">
        <v>65.762299999999996</v>
      </c>
      <c r="K18">
        <v>65.953800000000001</v>
      </c>
      <c r="L18">
        <v>65.993300000000005</v>
      </c>
      <c r="M18">
        <v>65.986800000000002</v>
      </c>
      <c r="N18">
        <v>65.947100000000006</v>
      </c>
      <c r="O18">
        <v>65.128699999999995</v>
      </c>
      <c r="P18">
        <v>62.039900000000003</v>
      </c>
      <c r="Q18">
        <v>63.036499999999997</v>
      </c>
      <c r="R18">
        <v>65.432400000000001</v>
      </c>
      <c r="S18">
        <v>65.696299999999994</v>
      </c>
      <c r="T18">
        <v>64.917599999999993</v>
      </c>
      <c r="U18">
        <v>64.897800000000004</v>
      </c>
      <c r="V18">
        <v>65.769000000000005</v>
      </c>
      <c r="W18">
        <v>65.788700000000006</v>
      </c>
      <c r="X18">
        <v>65.399299999999997</v>
      </c>
      <c r="Y18">
        <v>65.993300000000005</v>
      </c>
      <c r="Z18">
        <v>65.986800000000002</v>
      </c>
      <c r="AA18">
        <v>65.940600000000003</v>
      </c>
      <c r="AB18">
        <v>65.788700000000006</v>
      </c>
      <c r="AC18">
        <v>65.221100000000007</v>
      </c>
      <c r="AD18">
        <v>65.788700000000006</v>
      </c>
      <c r="AE18">
        <v>65.986800000000002</v>
      </c>
      <c r="AF18">
        <v>65.755700000000004</v>
      </c>
      <c r="AG18">
        <v>65.174899999999994</v>
      </c>
      <c r="AH18">
        <v>65.947100000000006</v>
      </c>
      <c r="AI18">
        <v>65.953800000000001</v>
      </c>
      <c r="AJ18">
        <v>65.663300000000007</v>
      </c>
      <c r="AK18">
        <v>65.960300000000004</v>
      </c>
      <c r="AL18">
        <v>65.947100000000006</v>
      </c>
      <c r="AM18">
        <v>18.2027</v>
      </c>
    </row>
    <row r="19" spans="1:42" x14ac:dyDescent="0.25">
      <c r="A19">
        <v>481410058</v>
      </c>
      <c r="B19">
        <v>31.893913000000001</v>
      </c>
      <c r="C19">
        <v>-106.425827</v>
      </c>
      <c r="D19" t="s">
        <v>55</v>
      </c>
      <c r="E19" t="s">
        <v>56</v>
      </c>
      <c r="F19">
        <v>69.333299999999994</v>
      </c>
      <c r="G19">
        <v>68.723100000000002</v>
      </c>
      <c r="H19">
        <v>68.452699999999993</v>
      </c>
      <c r="I19">
        <v>67.648499999999999</v>
      </c>
      <c r="J19">
        <v>69.153000000000006</v>
      </c>
      <c r="K19">
        <v>69.243099999999998</v>
      </c>
      <c r="L19">
        <v>69.326300000000003</v>
      </c>
      <c r="M19">
        <v>69.326300000000003</v>
      </c>
      <c r="N19">
        <v>69.319400000000002</v>
      </c>
      <c r="O19">
        <v>68.272499999999994</v>
      </c>
      <c r="P19">
        <v>64.126300000000001</v>
      </c>
      <c r="Q19">
        <v>66.858099999999993</v>
      </c>
      <c r="R19">
        <v>68.951899999999995</v>
      </c>
      <c r="S19">
        <v>68.979699999999994</v>
      </c>
      <c r="T19">
        <v>68.071399999999997</v>
      </c>
      <c r="U19">
        <v>68.279399999999995</v>
      </c>
      <c r="V19">
        <v>69.1738</v>
      </c>
      <c r="W19">
        <v>69.090599999999995</v>
      </c>
      <c r="X19">
        <v>68.653800000000004</v>
      </c>
      <c r="Y19">
        <v>69.326300000000003</v>
      </c>
      <c r="Z19">
        <v>69.3125</v>
      </c>
      <c r="AA19">
        <v>69.263900000000007</v>
      </c>
      <c r="AB19">
        <v>68.896500000000003</v>
      </c>
      <c r="AC19">
        <v>68.369500000000002</v>
      </c>
      <c r="AD19">
        <v>69.125299999999996</v>
      </c>
      <c r="AE19">
        <v>69.3125</v>
      </c>
      <c r="AF19">
        <v>68.764700000000005</v>
      </c>
      <c r="AG19">
        <v>68.591399999999993</v>
      </c>
      <c r="AH19">
        <v>69.284700000000001</v>
      </c>
      <c r="AI19">
        <v>69.277799999999999</v>
      </c>
      <c r="AJ19">
        <v>68.917299999999997</v>
      </c>
      <c r="AK19">
        <v>69.270899999999997</v>
      </c>
      <c r="AL19">
        <v>69.305499999999995</v>
      </c>
      <c r="AM19">
        <v>20.092700000000001</v>
      </c>
    </row>
    <row r="20" spans="1:42" ht="21" x14ac:dyDescent="0.35">
      <c r="A20" s="14" t="s">
        <v>167</v>
      </c>
      <c r="AN20" s="72" t="s">
        <v>207</v>
      </c>
    </row>
    <row r="21" spans="1:42" x14ac:dyDescent="0.25">
      <c r="A21" s="1" t="s">
        <v>57</v>
      </c>
      <c r="B21" s="1" t="s">
        <v>58</v>
      </c>
      <c r="C21" s="1" t="s">
        <v>59</v>
      </c>
      <c r="D21" s="1" t="s">
        <v>60</v>
      </c>
      <c r="E21" s="1" t="s">
        <v>61</v>
      </c>
      <c r="F21" s="1" t="s">
        <v>200</v>
      </c>
      <c r="G21" s="1" t="str">
        <f t="shared" ref="G21:AL21" si="0">G2&amp;"_contribution"</f>
        <v>O3T001001_contribution</v>
      </c>
      <c r="H21" s="1" t="str">
        <f t="shared" si="0"/>
        <v>O3T001002_contribution</v>
      </c>
      <c r="I21" s="1" t="str">
        <f t="shared" si="0"/>
        <v>O3T001003_contribution</v>
      </c>
      <c r="J21" s="1" t="str">
        <f t="shared" si="0"/>
        <v>O3T001004_contribution</v>
      </c>
      <c r="K21" s="1" t="str">
        <f t="shared" si="0"/>
        <v>O3T002001_contribution</v>
      </c>
      <c r="L21" s="1" t="str">
        <f t="shared" si="0"/>
        <v>O3T002002_contribution</v>
      </c>
      <c r="M21" s="1" t="str">
        <f t="shared" si="0"/>
        <v>O3T002003_contribution</v>
      </c>
      <c r="N21" s="1" t="str">
        <f t="shared" si="0"/>
        <v>O3T002004_contribution</v>
      </c>
      <c r="O21" s="1" t="str">
        <f t="shared" si="0"/>
        <v>O3T003001_contribution</v>
      </c>
      <c r="P21" s="1" t="str">
        <f t="shared" si="0"/>
        <v>O3T003002_contribution</v>
      </c>
      <c r="Q21" s="1" t="str">
        <f t="shared" si="0"/>
        <v>O3T003003_contribution</v>
      </c>
      <c r="R21" s="1" t="str">
        <f t="shared" si="0"/>
        <v>O3T003004_contribution</v>
      </c>
      <c r="S21" s="1" t="str">
        <f t="shared" si="0"/>
        <v>O3T004001_contribution</v>
      </c>
      <c r="T21" s="1" t="str">
        <f t="shared" si="0"/>
        <v>O3T004002_contribution</v>
      </c>
      <c r="U21" s="1" t="str">
        <f t="shared" si="0"/>
        <v>O3T004003_contribution</v>
      </c>
      <c r="V21" s="1" t="str">
        <f t="shared" si="0"/>
        <v>O3T004004_contribution</v>
      </c>
      <c r="W21" s="1" t="str">
        <f t="shared" si="0"/>
        <v>O3T005001_contribution</v>
      </c>
      <c r="X21" s="1" t="str">
        <f t="shared" si="0"/>
        <v>O3T005002_contribution</v>
      </c>
      <c r="Y21" s="1" t="str">
        <f t="shared" si="0"/>
        <v>O3T005003_contribution</v>
      </c>
      <c r="Z21" s="1" t="str">
        <f t="shared" si="0"/>
        <v>O3T005004_contribution</v>
      </c>
      <c r="AA21" s="1" t="str">
        <f t="shared" si="0"/>
        <v>O3T006001_contribution</v>
      </c>
      <c r="AB21" s="1" t="str">
        <f t="shared" si="0"/>
        <v>O3T006002_contribution</v>
      </c>
      <c r="AC21" s="1" t="str">
        <f t="shared" si="0"/>
        <v>O3T006003_contribution</v>
      </c>
      <c r="AD21" s="1" t="str">
        <f t="shared" si="0"/>
        <v>O3T006004_contribution</v>
      </c>
      <c r="AE21" s="1" t="str">
        <f t="shared" si="0"/>
        <v>O3T007001_contribution</v>
      </c>
      <c r="AF21" s="1" t="str">
        <f t="shared" si="0"/>
        <v>O3T007002_contribution</v>
      </c>
      <c r="AG21" s="1" t="str">
        <f t="shared" si="0"/>
        <v>O3T007003_contribution</v>
      </c>
      <c r="AH21" s="1" t="str">
        <f t="shared" si="0"/>
        <v>O3T007004_contribution</v>
      </c>
      <c r="AI21" s="1" t="str">
        <f t="shared" si="0"/>
        <v>O3T008001_contribution</v>
      </c>
      <c r="AJ21" s="1" t="str">
        <f t="shared" si="0"/>
        <v>O3T008002_contribution</v>
      </c>
      <c r="AK21" s="1" t="str">
        <f t="shared" si="0"/>
        <v>O3T008003_contribution</v>
      </c>
      <c r="AL21" s="1" t="str">
        <f t="shared" si="0"/>
        <v>O3T008004_contribution</v>
      </c>
      <c r="AM21" s="71" t="s">
        <v>187</v>
      </c>
      <c r="AN21" s="68" t="s">
        <v>203</v>
      </c>
      <c r="AO21" s="68" t="s">
        <v>202</v>
      </c>
      <c r="AP21" s="68" t="s">
        <v>205</v>
      </c>
    </row>
    <row r="22" spans="1:42" x14ac:dyDescent="0.25">
      <c r="A22">
        <v>350130008</v>
      </c>
      <c r="B22">
        <v>31.930555999999999</v>
      </c>
      <c r="C22">
        <v>-106.630556</v>
      </c>
      <c r="D22" t="s">
        <v>50</v>
      </c>
      <c r="E22" t="s">
        <v>51</v>
      </c>
      <c r="G22">
        <f t="shared" ref="G22:AK22" si="1">$F3-G3</f>
        <v>0.39450000000000784</v>
      </c>
      <c r="H22">
        <f t="shared" si="1"/>
        <v>0.75670000000000925</v>
      </c>
      <c r="I22">
        <f t="shared" si="1"/>
        <v>1.4227000000000061</v>
      </c>
      <c r="J22">
        <f t="shared" si="1"/>
        <v>5.8300000000002683E-2</v>
      </c>
      <c r="K22">
        <f t="shared" si="1"/>
        <v>0.10350000000001103</v>
      </c>
      <c r="L22">
        <f t="shared" si="1"/>
        <v>1.300000000000523E-2</v>
      </c>
      <c r="M22">
        <f t="shared" si="1"/>
        <v>6.5000000000026148E-3</v>
      </c>
      <c r="N22">
        <f t="shared" si="1"/>
        <v>6.5000000000026148E-3</v>
      </c>
      <c r="O22">
        <f t="shared" si="1"/>
        <v>1.0283000000000087</v>
      </c>
      <c r="P22">
        <f t="shared" si="1"/>
        <v>4.2487000000000066</v>
      </c>
      <c r="Q22">
        <f t="shared" si="1"/>
        <v>2.2699000000000069</v>
      </c>
      <c r="R22">
        <f t="shared" si="1"/>
        <v>0.13590000000000657</v>
      </c>
      <c r="S22">
        <f t="shared" si="1"/>
        <v>0.32340000000000657</v>
      </c>
      <c r="T22">
        <f t="shared" si="1"/>
        <v>0.87950000000000728</v>
      </c>
      <c r="U22">
        <f t="shared" si="1"/>
        <v>0.87310000000000798</v>
      </c>
      <c r="V22">
        <f t="shared" si="1"/>
        <v>5.8300000000002683E-2</v>
      </c>
      <c r="W22">
        <f t="shared" si="1"/>
        <v>0.24580000000000268</v>
      </c>
      <c r="X22">
        <f t="shared" si="1"/>
        <v>0.79550000000000409</v>
      </c>
      <c r="Y22">
        <f t="shared" si="1"/>
        <v>6.5000000000026148E-3</v>
      </c>
      <c r="Z22">
        <f t="shared" si="1"/>
        <v>1.300000000000523E-2</v>
      </c>
      <c r="AA22">
        <f t="shared" si="1"/>
        <v>3.2400000000009754E-2</v>
      </c>
      <c r="AB22">
        <f t="shared" si="1"/>
        <v>0.3428000000000111</v>
      </c>
      <c r="AC22">
        <f t="shared" si="1"/>
        <v>1.248100000000008</v>
      </c>
      <c r="AD22">
        <f t="shared" si="1"/>
        <v>8.4100000000006503E-2</v>
      </c>
      <c r="AE22">
        <f t="shared" si="1"/>
        <v>1.300000000000523E-2</v>
      </c>
      <c r="AF22">
        <f t="shared" si="1"/>
        <v>0.3492999999999995</v>
      </c>
      <c r="AG22">
        <f t="shared" si="1"/>
        <v>0.86010000000000275</v>
      </c>
      <c r="AH22">
        <f t="shared" si="1"/>
        <v>1.9500000000007844E-2</v>
      </c>
      <c r="AI22">
        <f t="shared" si="1"/>
        <v>5.1800000000000068E-2</v>
      </c>
      <c r="AJ22">
        <f t="shared" si="1"/>
        <v>0.23930000000000007</v>
      </c>
      <c r="AK22">
        <f t="shared" si="1"/>
        <v>4.5300000000011664E-2</v>
      </c>
      <c r="AL22">
        <f>$F3-AL3</f>
        <v>6.5000000000026148E-3</v>
      </c>
      <c r="AM22">
        <f>$F3-AM3</f>
        <v>47.62060000000001</v>
      </c>
      <c r="AN22" s="70">
        <f>SUM(G22:AM22)</f>
        <v>64.552400000000191</v>
      </c>
      <c r="AO22" s="70">
        <v>64.7</v>
      </c>
      <c r="AP22" s="70">
        <f>AO22/AN22</f>
        <v>1.0022865145215332</v>
      </c>
    </row>
    <row r="23" spans="1:42" x14ac:dyDescent="0.25">
      <c r="A23">
        <v>350130017</v>
      </c>
      <c r="B23">
        <v>31.795832999999998</v>
      </c>
      <c r="C23">
        <v>-106.5575</v>
      </c>
      <c r="D23" t="s">
        <v>50</v>
      </c>
      <c r="E23" t="s">
        <v>51</v>
      </c>
      <c r="G23">
        <f t="shared" ref="G23:AM23" si="2">$F4-G4</f>
        <v>0.49340000000000828</v>
      </c>
      <c r="H23">
        <f t="shared" si="2"/>
        <v>0.78010000000000446</v>
      </c>
      <c r="I23">
        <f t="shared" si="2"/>
        <v>1.466700000000003</v>
      </c>
      <c r="J23">
        <f t="shared" si="2"/>
        <v>8.0100000000001614E-2</v>
      </c>
      <c r="K23">
        <f t="shared" si="2"/>
        <v>3.3400000000000318E-2</v>
      </c>
      <c r="L23">
        <f t="shared" si="2"/>
        <v>1.3400000000004297E-2</v>
      </c>
      <c r="M23">
        <f t="shared" si="2"/>
        <v>6.7000000000092541E-3</v>
      </c>
      <c r="N23">
        <f t="shared" si="2"/>
        <v>6.0100000000005593E-2</v>
      </c>
      <c r="O23">
        <f t="shared" si="2"/>
        <v>0.933400000000006</v>
      </c>
      <c r="P23">
        <f t="shared" si="2"/>
        <v>3.0667000000000044</v>
      </c>
      <c r="Q23">
        <f t="shared" si="2"/>
        <v>2.8401000000000067</v>
      </c>
      <c r="R23">
        <f t="shared" si="2"/>
        <v>0.16009999999999991</v>
      </c>
      <c r="S23">
        <f t="shared" si="2"/>
        <v>0.30670000000000641</v>
      </c>
      <c r="T23">
        <f t="shared" si="2"/>
        <v>0.76670000000000016</v>
      </c>
      <c r="U23">
        <f t="shared" si="2"/>
        <v>0.9801000000000073</v>
      </c>
      <c r="V23">
        <f t="shared" si="2"/>
        <v>6.6700000000011528E-2</v>
      </c>
      <c r="W23">
        <f t="shared" si="2"/>
        <v>0.22670000000000812</v>
      </c>
      <c r="X23">
        <f t="shared" si="2"/>
        <v>0.70010000000000616</v>
      </c>
      <c r="Y23">
        <f t="shared" si="2"/>
        <v>6.7000000000092541E-3</v>
      </c>
      <c r="Z23">
        <f t="shared" si="2"/>
        <v>1.3400000000004297E-2</v>
      </c>
      <c r="AA23">
        <f t="shared" si="2"/>
        <v>0.12669999999999959</v>
      </c>
      <c r="AB23">
        <f t="shared" si="2"/>
        <v>0.24670000000000414</v>
      </c>
      <c r="AC23">
        <f t="shared" si="2"/>
        <v>1.2934000000000054</v>
      </c>
      <c r="AD23">
        <f t="shared" si="2"/>
        <v>0.11340000000001282</v>
      </c>
      <c r="AE23">
        <f t="shared" si="2"/>
        <v>2.0099999999999341E-2</v>
      </c>
      <c r="AF23">
        <f t="shared" si="2"/>
        <v>0.34670000000001266</v>
      </c>
      <c r="AG23">
        <f t="shared" si="2"/>
        <v>1.1067000000000036</v>
      </c>
      <c r="AH23">
        <f t="shared" si="2"/>
        <v>2.6700000000005275E-2</v>
      </c>
      <c r="AI23">
        <f t="shared" si="2"/>
        <v>5.340000000001055E-2</v>
      </c>
      <c r="AJ23">
        <f t="shared" si="2"/>
        <v>0.32010000000001071</v>
      </c>
      <c r="AK23">
        <f t="shared" si="2"/>
        <v>9.3400000000002592E-2</v>
      </c>
      <c r="AL23">
        <f t="shared" si="2"/>
        <v>1.3400000000004297E-2</v>
      </c>
      <c r="AM23">
        <f t="shared" si="2"/>
        <v>49.806700000000006</v>
      </c>
      <c r="AN23" s="70">
        <f t="shared" ref="AN23:AN38" si="3">SUM(G23:AM23)</f>
        <v>66.568700000000177</v>
      </c>
      <c r="AO23" s="70">
        <v>66.7</v>
      </c>
      <c r="AP23" s="70">
        <f t="shared" ref="AP23:AP38" si="4">AO23/AN23</f>
        <v>1.0019723984395041</v>
      </c>
    </row>
    <row r="24" spans="1:42" x14ac:dyDescent="0.25">
      <c r="A24">
        <v>350130019</v>
      </c>
      <c r="B24">
        <v>32.424722000000003</v>
      </c>
      <c r="C24">
        <v>-106.674167</v>
      </c>
      <c r="D24" t="s">
        <v>50</v>
      </c>
      <c r="E24" t="s">
        <v>51</v>
      </c>
      <c r="G24" t="s">
        <v>62</v>
      </c>
      <c r="H24" t="s">
        <v>62</v>
      </c>
      <c r="I24" t="s">
        <v>62</v>
      </c>
      <c r="J24" t="s">
        <v>62</v>
      </c>
      <c r="K24" t="s">
        <v>62</v>
      </c>
      <c r="L24" t="s">
        <v>62</v>
      </c>
      <c r="M24" t="s">
        <v>62</v>
      </c>
      <c r="N24" t="s">
        <v>62</v>
      </c>
      <c r="O24" t="s">
        <v>62</v>
      </c>
      <c r="P24" t="s">
        <v>62</v>
      </c>
      <c r="Q24" t="s">
        <v>62</v>
      </c>
      <c r="R24" t="s">
        <v>62</v>
      </c>
      <c r="S24" t="s">
        <v>62</v>
      </c>
      <c r="T24" t="s">
        <v>62</v>
      </c>
      <c r="U24" t="s">
        <v>62</v>
      </c>
      <c r="V24" t="s">
        <v>62</v>
      </c>
      <c r="W24" t="s">
        <v>62</v>
      </c>
      <c r="X24" t="s">
        <v>62</v>
      </c>
      <c r="Y24" t="s">
        <v>62</v>
      </c>
      <c r="Z24" t="s">
        <v>62</v>
      </c>
      <c r="AA24" t="s">
        <v>62</v>
      </c>
      <c r="AB24" t="s">
        <v>62</v>
      </c>
      <c r="AC24" t="s">
        <v>62</v>
      </c>
      <c r="AD24" t="s">
        <v>62</v>
      </c>
      <c r="AE24" t="s">
        <v>62</v>
      </c>
      <c r="AF24" t="s">
        <v>62</v>
      </c>
      <c r="AG24" t="s">
        <v>62</v>
      </c>
      <c r="AH24" t="s">
        <v>62</v>
      </c>
      <c r="AI24" t="s">
        <v>62</v>
      </c>
      <c r="AJ24" t="s">
        <v>62</v>
      </c>
      <c r="AK24" t="s">
        <v>62</v>
      </c>
      <c r="AL24" t="s">
        <v>62</v>
      </c>
      <c r="AM24" t="s">
        <v>62</v>
      </c>
      <c r="AN24" s="70" t="s">
        <v>62</v>
      </c>
      <c r="AO24" s="70" t="s">
        <v>62</v>
      </c>
      <c r="AP24" s="70" t="s">
        <v>62</v>
      </c>
    </row>
    <row r="25" spans="1:42" x14ac:dyDescent="0.25">
      <c r="A25">
        <v>350130020</v>
      </c>
      <c r="B25">
        <v>32.041111000000001</v>
      </c>
      <c r="C25">
        <v>-106.409167</v>
      </c>
      <c r="D25" t="s">
        <v>50</v>
      </c>
      <c r="E25" t="s">
        <v>51</v>
      </c>
      <c r="G25">
        <f t="shared" ref="G25:AL25" si="5">$F6-G6</f>
        <v>0.48050000000000637</v>
      </c>
      <c r="H25">
        <f t="shared" si="5"/>
        <v>0.70380000000000109</v>
      </c>
      <c r="I25">
        <f t="shared" si="5"/>
        <v>1.4887000000000086</v>
      </c>
      <c r="J25">
        <f t="shared" si="5"/>
        <v>0.15570000000001016</v>
      </c>
      <c r="K25">
        <f t="shared" si="5"/>
        <v>7.4500000000000455E-2</v>
      </c>
      <c r="L25">
        <f t="shared" si="5"/>
        <v>1.3600000000010937E-2</v>
      </c>
      <c r="M25">
        <f t="shared" si="5"/>
        <v>1.3600000000010937E-2</v>
      </c>
      <c r="N25">
        <f t="shared" si="5"/>
        <v>3.3900000000002706E-2</v>
      </c>
      <c r="O25">
        <f t="shared" si="5"/>
        <v>1.0962999999999994</v>
      </c>
      <c r="P25">
        <f t="shared" si="5"/>
        <v>3.9180000000000064</v>
      </c>
      <c r="Q25">
        <f t="shared" si="5"/>
        <v>1.9218000000000046</v>
      </c>
      <c r="R25">
        <f t="shared" si="5"/>
        <v>0.40610000000000923</v>
      </c>
      <c r="S25">
        <f t="shared" si="5"/>
        <v>0.32489999999999952</v>
      </c>
      <c r="T25">
        <f t="shared" si="5"/>
        <v>0.98799999999999955</v>
      </c>
      <c r="U25">
        <f t="shared" si="5"/>
        <v>0.95420000000000016</v>
      </c>
      <c r="V25">
        <f t="shared" si="5"/>
        <v>0.16920000000000357</v>
      </c>
      <c r="W25">
        <f t="shared" si="5"/>
        <v>0.18950000000000955</v>
      </c>
      <c r="X25">
        <f t="shared" si="5"/>
        <v>0.64970000000000994</v>
      </c>
      <c r="Y25">
        <f t="shared" si="5"/>
        <v>6.8000000000125738E-3</v>
      </c>
      <c r="Z25">
        <f t="shared" si="5"/>
        <v>1.3600000000010937E-2</v>
      </c>
      <c r="AA25">
        <f t="shared" si="5"/>
        <v>4.0700000000001069E-2</v>
      </c>
      <c r="AB25">
        <f t="shared" si="5"/>
        <v>1.0557000000000016</v>
      </c>
      <c r="AC25">
        <f t="shared" si="5"/>
        <v>0.73090000000000543</v>
      </c>
      <c r="AD25">
        <f t="shared" si="5"/>
        <v>0.18950000000000955</v>
      </c>
      <c r="AE25">
        <f t="shared" si="5"/>
        <v>1.3600000000010937E-2</v>
      </c>
      <c r="AF25">
        <f t="shared" si="5"/>
        <v>0.426400000000001</v>
      </c>
      <c r="AG25">
        <f t="shared" si="5"/>
        <v>0.64290000000001157</v>
      </c>
      <c r="AH25">
        <f t="shared" si="5"/>
        <v>4.0700000000001069E-2</v>
      </c>
      <c r="AI25">
        <f t="shared" si="5"/>
        <v>3.3900000000002706E-2</v>
      </c>
      <c r="AJ25">
        <f t="shared" si="5"/>
        <v>0.25039999999999907</v>
      </c>
      <c r="AK25">
        <f t="shared" si="5"/>
        <v>3.3900000000002706E-2</v>
      </c>
      <c r="AL25">
        <f t="shared" si="5"/>
        <v>2.7100000000004343E-2</v>
      </c>
      <c r="AM25">
        <f t="shared" ref="AM25:AM38" si="6">$F6-AM6</f>
        <v>50.377900000000011</v>
      </c>
      <c r="AN25" s="70">
        <f t="shared" si="3"/>
        <v>67.466000000000179</v>
      </c>
      <c r="AO25" s="70">
        <v>67.7</v>
      </c>
      <c r="AP25" s="70">
        <f t="shared" si="4"/>
        <v>1.0034684137195005</v>
      </c>
    </row>
    <row r="26" spans="1:42" x14ac:dyDescent="0.25">
      <c r="A26">
        <v>350130021</v>
      </c>
      <c r="B26">
        <v>31.796111</v>
      </c>
      <c r="C26">
        <v>-106.583889</v>
      </c>
      <c r="D26" t="s">
        <v>50</v>
      </c>
      <c r="E26" t="s">
        <v>51</v>
      </c>
      <c r="G26">
        <f t="shared" ref="G26:AL26" si="7">$F7-G7</f>
        <v>0.51130000000000564</v>
      </c>
      <c r="H26">
        <f t="shared" si="7"/>
        <v>0.85909999999999798</v>
      </c>
      <c r="I26">
        <f t="shared" si="7"/>
        <v>1.3632999999999953</v>
      </c>
      <c r="J26">
        <f t="shared" si="7"/>
        <v>7.8199999999995384E-2</v>
      </c>
      <c r="K26">
        <f t="shared" si="7"/>
        <v>3.5499999999998977E-2</v>
      </c>
      <c r="L26">
        <f t="shared" si="7"/>
        <v>7.099999999994111E-3</v>
      </c>
      <c r="M26">
        <f t="shared" si="7"/>
        <v>7.099999999994111E-3</v>
      </c>
      <c r="N26">
        <f t="shared" si="7"/>
        <v>5.6799999999995521E-2</v>
      </c>
      <c r="O26">
        <f t="shared" si="7"/>
        <v>1.1004999999999967</v>
      </c>
      <c r="P26">
        <f t="shared" si="7"/>
        <v>3.3867000000000047</v>
      </c>
      <c r="Q26">
        <f t="shared" si="7"/>
        <v>2.6908999999999992</v>
      </c>
      <c r="R26">
        <f t="shared" si="7"/>
        <v>0.18470000000000653</v>
      </c>
      <c r="S26">
        <f t="shared" si="7"/>
        <v>0.35509999999999309</v>
      </c>
      <c r="T26">
        <f t="shared" si="7"/>
        <v>0.80240000000000578</v>
      </c>
      <c r="U26">
        <f t="shared" si="7"/>
        <v>0.90879999999999939</v>
      </c>
      <c r="V26">
        <f t="shared" si="7"/>
        <v>7.0999999999997954E-2</v>
      </c>
      <c r="W26">
        <f t="shared" si="7"/>
        <v>0.21299999999999386</v>
      </c>
      <c r="X26">
        <f t="shared" si="7"/>
        <v>0.8662000000000063</v>
      </c>
      <c r="Y26">
        <f t="shared" si="7"/>
        <v>7.099999999994111E-3</v>
      </c>
      <c r="Z26">
        <f t="shared" si="7"/>
        <v>1.4300000000005753E-2</v>
      </c>
      <c r="AA26">
        <f t="shared" si="7"/>
        <v>0.13500000000000512</v>
      </c>
      <c r="AB26">
        <f t="shared" si="7"/>
        <v>0.28409999999999513</v>
      </c>
      <c r="AC26">
        <f t="shared" si="7"/>
        <v>1.5478999999999985</v>
      </c>
      <c r="AD26">
        <f t="shared" si="7"/>
        <v>0.12789999999999679</v>
      </c>
      <c r="AE26">
        <f t="shared" si="7"/>
        <v>1.4300000000005753E-2</v>
      </c>
      <c r="AF26">
        <f t="shared" si="7"/>
        <v>0.34789999999999566</v>
      </c>
      <c r="AG26">
        <f t="shared" si="7"/>
        <v>0.97979999999999734</v>
      </c>
      <c r="AH26">
        <f t="shared" si="7"/>
        <v>2.8400000000004866E-2</v>
      </c>
      <c r="AI26">
        <f t="shared" si="7"/>
        <v>5.6799999999995521E-2</v>
      </c>
      <c r="AJ26">
        <f t="shared" si="7"/>
        <v>0.30540000000000589</v>
      </c>
      <c r="AK26">
        <f t="shared" si="7"/>
        <v>7.8199999999995384E-2</v>
      </c>
      <c r="AL26">
        <f t="shared" si="7"/>
        <v>1.4300000000005753E-2</v>
      </c>
      <c r="AM26">
        <f t="shared" si="6"/>
        <v>53.541200000000003</v>
      </c>
      <c r="AN26" s="70">
        <f t="shared" si="3"/>
        <v>70.980299999999986</v>
      </c>
      <c r="AO26" s="70">
        <v>71</v>
      </c>
      <c r="AP26" s="70">
        <f t="shared" si="4"/>
        <v>1.0002775417968086</v>
      </c>
    </row>
    <row r="27" spans="1:42" x14ac:dyDescent="0.25">
      <c r="A27">
        <v>350130022</v>
      </c>
      <c r="B27">
        <v>31.787777999999999</v>
      </c>
      <c r="C27">
        <v>-106.682778</v>
      </c>
      <c r="D27" t="s">
        <v>50</v>
      </c>
      <c r="E27" t="s">
        <v>51</v>
      </c>
      <c r="G27">
        <f t="shared" ref="G27:AL27" si="8">$F8-G8</f>
        <v>0.47829999999999018</v>
      </c>
      <c r="H27">
        <f t="shared" si="8"/>
        <v>0.90029999999998722</v>
      </c>
      <c r="I27">
        <f t="shared" si="8"/>
        <v>0.83699999999998909</v>
      </c>
      <c r="J27">
        <f t="shared" si="8"/>
        <v>7.0399999999992247E-2</v>
      </c>
      <c r="K27">
        <f t="shared" si="8"/>
        <v>3.5199999999989018E-2</v>
      </c>
      <c r="L27">
        <f t="shared" si="8"/>
        <v>2.1099999999989905E-2</v>
      </c>
      <c r="M27">
        <f t="shared" si="8"/>
        <v>7.099999999994111E-3</v>
      </c>
      <c r="N27">
        <f t="shared" si="8"/>
        <v>5.6299999999993133E-2</v>
      </c>
      <c r="O27">
        <f t="shared" si="8"/>
        <v>1.2519999999999953</v>
      </c>
      <c r="P27">
        <f>$F8-P8</f>
        <v>3.7979999999999876</v>
      </c>
      <c r="Q27">
        <f t="shared" si="8"/>
        <v>1.9974999999999881</v>
      </c>
      <c r="R27">
        <f t="shared" si="8"/>
        <v>0.1617999999999995</v>
      </c>
      <c r="S27">
        <f t="shared" si="8"/>
        <v>0.38689999999999714</v>
      </c>
      <c r="T27">
        <f t="shared" si="8"/>
        <v>0.90729999999999222</v>
      </c>
      <c r="U27">
        <f t="shared" si="8"/>
        <v>0.54159999999998831</v>
      </c>
      <c r="V27">
        <f t="shared" si="8"/>
        <v>6.3299999999998136E-2</v>
      </c>
      <c r="W27">
        <f t="shared" si="8"/>
        <v>0.21809999999999263</v>
      </c>
      <c r="X27">
        <f t="shared" si="8"/>
        <v>1.2097999999999871</v>
      </c>
      <c r="Y27">
        <f t="shared" si="8"/>
        <v>7.099999999994111E-3</v>
      </c>
      <c r="Z27">
        <f t="shared" si="8"/>
        <v>1.4099999999999113E-2</v>
      </c>
      <c r="AA27">
        <f t="shared" si="8"/>
        <v>0.13369999999999038</v>
      </c>
      <c r="AB27">
        <f t="shared" si="8"/>
        <v>0.33059999999998979</v>
      </c>
      <c r="AC27">
        <f t="shared" si="8"/>
        <v>1.62469999999999</v>
      </c>
      <c r="AD27">
        <f t="shared" si="8"/>
        <v>0.11959999999999127</v>
      </c>
      <c r="AE27">
        <f t="shared" si="8"/>
        <v>2.1099999999989905E-2</v>
      </c>
      <c r="AF27">
        <f t="shared" si="8"/>
        <v>0.38689999999999714</v>
      </c>
      <c r="AG27">
        <f t="shared" si="8"/>
        <v>0.40089999999999293</v>
      </c>
      <c r="AH27">
        <f t="shared" si="8"/>
        <v>2.8199999999998226E-2</v>
      </c>
      <c r="AI27">
        <f t="shared" si="8"/>
        <v>5.6299999999993133E-2</v>
      </c>
      <c r="AJ27">
        <f t="shared" si="8"/>
        <v>0.26030000000000086</v>
      </c>
      <c r="AK27">
        <f t="shared" si="8"/>
        <v>5.6299999999993133E-2</v>
      </c>
      <c r="AL27">
        <f t="shared" si="8"/>
        <v>1.4099999999999113E-2</v>
      </c>
      <c r="AM27">
        <f t="shared" si="6"/>
        <v>53.797999999999995</v>
      </c>
      <c r="AN27" s="70">
        <f t="shared" si="3"/>
        <v>70.193899999999758</v>
      </c>
      <c r="AO27" s="70">
        <v>70.3</v>
      </c>
      <c r="AP27" s="70">
        <f t="shared" si="4"/>
        <v>1.0015115273549444</v>
      </c>
    </row>
    <row r="28" spans="1:42" x14ac:dyDescent="0.25">
      <c r="A28">
        <v>350130023</v>
      </c>
      <c r="B28">
        <v>32.317500000000003</v>
      </c>
      <c r="C28">
        <v>-106.76777800000001</v>
      </c>
      <c r="D28" t="s">
        <v>50</v>
      </c>
      <c r="E28" t="s">
        <v>51</v>
      </c>
      <c r="G28">
        <f t="shared" ref="G28:AL28" si="9">$F9-G9</f>
        <v>0.66269999999999385</v>
      </c>
      <c r="H28">
        <f t="shared" si="9"/>
        <v>0.60479999999999734</v>
      </c>
      <c r="I28">
        <f t="shared" si="9"/>
        <v>0.96499999999999631</v>
      </c>
      <c r="J28">
        <f t="shared" si="9"/>
        <v>9.6499999999991815E-2</v>
      </c>
      <c r="K28">
        <f t="shared" si="9"/>
        <v>0.11579999999999302</v>
      </c>
      <c r="L28">
        <f t="shared" si="9"/>
        <v>6.4999999999884039E-3</v>
      </c>
      <c r="M28">
        <f t="shared" si="9"/>
        <v>6.4999999999884039E-3</v>
      </c>
      <c r="N28">
        <f t="shared" si="9"/>
        <v>6.4999999999884039E-3</v>
      </c>
      <c r="O28">
        <f t="shared" si="9"/>
        <v>4.0079999999999956</v>
      </c>
      <c r="P28">
        <f t="shared" si="9"/>
        <v>1.1837999999999909</v>
      </c>
      <c r="Q28">
        <f t="shared" si="9"/>
        <v>0.77199999999999136</v>
      </c>
      <c r="R28">
        <f t="shared" si="9"/>
        <v>0.28949999999998965</v>
      </c>
      <c r="S28">
        <f t="shared" si="9"/>
        <v>0.90709999999999269</v>
      </c>
      <c r="T28">
        <f t="shared" si="9"/>
        <v>0.39249999999999119</v>
      </c>
      <c r="U28">
        <f t="shared" si="9"/>
        <v>0.48899999999999721</v>
      </c>
      <c r="V28">
        <f t="shared" si="9"/>
        <v>0.12869999999999493</v>
      </c>
      <c r="W28">
        <f t="shared" si="9"/>
        <v>0.25739999999998986</v>
      </c>
      <c r="X28">
        <f t="shared" si="9"/>
        <v>0.70769999999999555</v>
      </c>
      <c r="Y28">
        <f t="shared" si="9"/>
        <v>6.4999999999884039E-3</v>
      </c>
      <c r="Z28">
        <f t="shared" si="9"/>
        <v>1.2899999999987699E-2</v>
      </c>
      <c r="AA28">
        <f t="shared" si="9"/>
        <v>6.4399999999992019E-2</v>
      </c>
      <c r="AB28">
        <f t="shared" si="9"/>
        <v>0.22520000000000095</v>
      </c>
      <c r="AC28">
        <f t="shared" si="9"/>
        <v>0.8942999999999941</v>
      </c>
      <c r="AD28">
        <f t="shared" si="9"/>
        <v>0.18659999999999854</v>
      </c>
      <c r="AE28">
        <f t="shared" si="9"/>
        <v>7.0799999999991314E-2</v>
      </c>
      <c r="AF28">
        <f t="shared" si="9"/>
        <v>0.12869999999999493</v>
      </c>
      <c r="AG28">
        <f t="shared" si="9"/>
        <v>0.28949999999998965</v>
      </c>
      <c r="AH28">
        <f t="shared" si="9"/>
        <v>4.5099999999990814E-2</v>
      </c>
      <c r="AI28">
        <f t="shared" si="9"/>
        <v>0.16729999999999734</v>
      </c>
      <c r="AJ28">
        <f t="shared" si="9"/>
        <v>4.5099999999990814E-2</v>
      </c>
      <c r="AK28">
        <f t="shared" si="9"/>
        <v>6.4999999999884039E-3</v>
      </c>
      <c r="AL28">
        <f t="shared" si="9"/>
        <v>2.5799999999989609E-2</v>
      </c>
      <c r="AM28">
        <f t="shared" si="6"/>
        <v>50.482399999999998</v>
      </c>
      <c r="AN28" s="70">
        <f t="shared" si="3"/>
        <v>64.251099999999752</v>
      </c>
      <c r="AO28" s="70">
        <v>64.3</v>
      </c>
      <c r="AP28" s="70">
        <f t="shared" si="4"/>
        <v>1.0007610764640644</v>
      </c>
    </row>
    <row r="29" spans="1:42" x14ac:dyDescent="0.25">
      <c r="A29">
        <v>350131012</v>
      </c>
      <c r="B29">
        <v>32.281388999999997</v>
      </c>
      <c r="C29">
        <v>-106.767222</v>
      </c>
      <c r="D29" t="s">
        <v>50</v>
      </c>
      <c r="E29" t="s">
        <v>51</v>
      </c>
      <c r="G29" t="s">
        <v>62</v>
      </c>
      <c r="H29" t="s">
        <v>62</v>
      </c>
      <c r="I29" t="s">
        <v>62</v>
      </c>
      <c r="J29" t="s">
        <v>62</v>
      </c>
      <c r="K29" t="s">
        <v>62</v>
      </c>
      <c r="L29" t="s">
        <v>62</v>
      </c>
      <c r="M29" t="s">
        <v>62</v>
      </c>
      <c r="N29" t="s">
        <v>62</v>
      </c>
      <c r="O29" t="s">
        <v>62</v>
      </c>
      <c r="P29" t="s">
        <v>62</v>
      </c>
      <c r="Q29" t="s">
        <v>62</v>
      </c>
      <c r="R29" t="s">
        <v>62</v>
      </c>
      <c r="S29" t="s">
        <v>62</v>
      </c>
      <c r="T29" t="s">
        <v>62</v>
      </c>
      <c r="U29" t="s">
        <v>62</v>
      </c>
      <c r="V29" t="s">
        <v>62</v>
      </c>
      <c r="W29" t="s">
        <v>62</v>
      </c>
      <c r="X29" t="s">
        <v>62</v>
      </c>
      <c r="Y29" t="s">
        <v>62</v>
      </c>
      <c r="Z29" t="s">
        <v>62</v>
      </c>
      <c r="AA29" t="s">
        <v>62</v>
      </c>
      <c r="AB29" t="s">
        <v>62</v>
      </c>
      <c r="AC29" t="s">
        <v>62</v>
      </c>
      <c r="AD29" t="s">
        <v>62</v>
      </c>
      <c r="AE29" t="s">
        <v>62</v>
      </c>
      <c r="AF29" t="s">
        <v>62</v>
      </c>
      <c r="AG29" t="s">
        <v>62</v>
      </c>
      <c r="AH29" t="s">
        <v>62</v>
      </c>
      <c r="AI29" t="s">
        <v>62</v>
      </c>
      <c r="AJ29" t="s">
        <v>62</v>
      </c>
      <c r="AK29" t="s">
        <v>62</v>
      </c>
      <c r="AL29" t="s">
        <v>62</v>
      </c>
      <c r="AM29" t="s">
        <v>62</v>
      </c>
      <c r="AN29" s="70" t="s">
        <v>62</v>
      </c>
      <c r="AO29" s="70" t="s">
        <v>62</v>
      </c>
      <c r="AP29" s="70" t="s">
        <v>62</v>
      </c>
    </row>
    <row r="30" spans="1:42" x14ac:dyDescent="0.25">
      <c r="A30">
        <v>350151005</v>
      </c>
      <c r="B30">
        <v>32.380000000000003</v>
      </c>
      <c r="C30">
        <v>-104.26222199999999</v>
      </c>
      <c r="D30" t="s">
        <v>50</v>
      </c>
      <c r="E30" t="s">
        <v>52</v>
      </c>
      <c r="G30">
        <f t="shared" ref="G30:AL30" si="10">$F11-G11</f>
        <v>0.27299999999999613</v>
      </c>
      <c r="H30">
        <f t="shared" si="10"/>
        <v>0.58110000000000639</v>
      </c>
      <c r="I30">
        <f t="shared" si="10"/>
        <v>0.5391000000000048</v>
      </c>
      <c r="J30">
        <f t="shared" si="10"/>
        <v>2.1100000000004115E-2</v>
      </c>
      <c r="K30">
        <f t="shared" si="10"/>
        <v>4.9099999999995703E-2</v>
      </c>
      <c r="L30">
        <f t="shared" si="10"/>
        <v>1.3999999999995794E-2</v>
      </c>
      <c r="M30">
        <f t="shared" si="10"/>
        <v>1.3999999999995794E-2</v>
      </c>
      <c r="N30">
        <f t="shared" si="10"/>
        <v>0.17499999999999716</v>
      </c>
      <c r="O30">
        <f t="shared" si="10"/>
        <v>0.68609999999999616</v>
      </c>
      <c r="P30">
        <f t="shared" si="10"/>
        <v>0.64409999999999457</v>
      </c>
      <c r="Q30">
        <f t="shared" si="10"/>
        <v>0.39910000000000423</v>
      </c>
      <c r="R30">
        <f t="shared" si="10"/>
        <v>7.6999999999998181E-2</v>
      </c>
      <c r="S30">
        <f t="shared" si="10"/>
        <v>0.18210000000000548</v>
      </c>
      <c r="T30">
        <f t="shared" si="10"/>
        <v>0.30800000000000693</v>
      </c>
      <c r="U30">
        <f t="shared" si="10"/>
        <v>0.10500000000000398</v>
      </c>
      <c r="V30">
        <f t="shared" si="10"/>
        <v>3.4999999999996589E-2</v>
      </c>
      <c r="W30">
        <f t="shared" si="10"/>
        <v>2.0580000000000069</v>
      </c>
      <c r="X30">
        <f t="shared" si="10"/>
        <v>2.4429999999999978</v>
      </c>
      <c r="Y30">
        <f t="shared" si="10"/>
        <v>7.099999999994111E-3</v>
      </c>
      <c r="Z30">
        <f t="shared" si="10"/>
        <v>3.4999999999996589E-2</v>
      </c>
      <c r="AA30">
        <f t="shared" si="10"/>
        <v>0.20310000000000628</v>
      </c>
      <c r="AB30">
        <f t="shared" si="10"/>
        <v>0.15399999999999636</v>
      </c>
      <c r="AC30">
        <f t="shared" si="10"/>
        <v>1.5541000000000054</v>
      </c>
      <c r="AD30">
        <f t="shared" si="10"/>
        <v>5.5999999999997385E-2</v>
      </c>
      <c r="AE30">
        <f t="shared" si="10"/>
        <v>3.4999999999996589E-2</v>
      </c>
      <c r="AF30">
        <f t="shared" si="10"/>
        <v>6.3100000000005707E-2</v>
      </c>
      <c r="AG30">
        <f t="shared" si="10"/>
        <v>1.3999999999995794E-2</v>
      </c>
      <c r="AH30">
        <f t="shared" si="10"/>
        <v>2.1100000000004115E-2</v>
      </c>
      <c r="AI30">
        <f t="shared" si="10"/>
        <v>3.4999999999996589E-2</v>
      </c>
      <c r="AJ30">
        <f t="shared" si="10"/>
        <v>7.099999999994111E-3</v>
      </c>
      <c r="AK30">
        <f t="shared" si="10"/>
        <v>7.099999999994111E-3</v>
      </c>
      <c r="AL30">
        <f t="shared" si="10"/>
        <v>7.099999999994111E-3</v>
      </c>
      <c r="AM30">
        <f t="shared" si="6"/>
        <v>57.994999999999997</v>
      </c>
      <c r="AN30" s="70">
        <f t="shared" si="3"/>
        <v>68.797599999999989</v>
      </c>
      <c r="AO30" s="70">
        <v>70.3</v>
      </c>
      <c r="AP30" s="70">
        <f t="shared" si="4"/>
        <v>1.0218379710920149</v>
      </c>
    </row>
    <row r="31" spans="1:42" x14ac:dyDescent="0.25">
      <c r="A31">
        <v>350171003</v>
      </c>
      <c r="B31">
        <v>32.691943999999999</v>
      </c>
      <c r="C31">
        <v>-108.124444</v>
      </c>
      <c r="D31" t="s">
        <v>50</v>
      </c>
      <c r="E31" t="s">
        <v>53</v>
      </c>
      <c r="G31">
        <f t="shared" ref="G31:AL31" si="11">$F12-G12</f>
        <v>0.57859999999999445</v>
      </c>
      <c r="H31">
        <f t="shared" si="11"/>
        <v>0.31199999999999761</v>
      </c>
      <c r="I31">
        <f t="shared" si="11"/>
        <v>0.59149999999999636</v>
      </c>
      <c r="J31">
        <f t="shared" si="11"/>
        <v>0.17549999999999955</v>
      </c>
      <c r="K31">
        <f t="shared" si="11"/>
        <v>0.11060000000000514</v>
      </c>
      <c r="L31">
        <f t="shared" si="11"/>
        <v>6.6000000000059345E-3</v>
      </c>
      <c r="M31">
        <f t="shared" si="11"/>
        <v>2.5999999999996248E-2</v>
      </c>
      <c r="N31">
        <f t="shared" si="11"/>
        <v>1.9499999999993634E-2</v>
      </c>
      <c r="O31">
        <f t="shared" si="11"/>
        <v>1.3130999999999986</v>
      </c>
      <c r="P31">
        <f t="shared" si="11"/>
        <v>0.45499999999999829</v>
      </c>
      <c r="Q31">
        <f t="shared" si="11"/>
        <v>0.33799999999999386</v>
      </c>
      <c r="R31">
        <f t="shared" si="11"/>
        <v>0.78010000000000446</v>
      </c>
      <c r="S31">
        <f t="shared" si="11"/>
        <v>0.51999999999999602</v>
      </c>
      <c r="T31">
        <f t="shared" si="11"/>
        <v>0.18859999999999388</v>
      </c>
      <c r="U31">
        <f t="shared" si="11"/>
        <v>0.35099999999999909</v>
      </c>
      <c r="V31">
        <f t="shared" si="11"/>
        <v>0.31199999999999761</v>
      </c>
      <c r="W31">
        <f t="shared" si="11"/>
        <v>0.27299999999999613</v>
      </c>
      <c r="X31">
        <f t="shared" si="11"/>
        <v>0.64360000000000639</v>
      </c>
      <c r="Y31">
        <f t="shared" si="11"/>
        <v>6.6000000000059345E-3</v>
      </c>
      <c r="Z31">
        <f t="shared" si="11"/>
        <v>2.5999999999996248E-2</v>
      </c>
      <c r="AA31">
        <f t="shared" si="11"/>
        <v>8.4500000000005571E-2</v>
      </c>
      <c r="AB31">
        <f t="shared" si="11"/>
        <v>8.4500000000005571E-2</v>
      </c>
      <c r="AC31">
        <f t="shared" si="11"/>
        <v>0.4094999999999942</v>
      </c>
      <c r="AD31">
        <f t="shared" si="11"/>
        <v>0.26649999999999352</v>
      </c>
      <c r="AE31">
        <f t="shared" si="11"/>
        <v>1.9499999999993634E-2</v>
      </c>
      <c r="AF31">
        <f t="shared" si="11"/>
        <v>5.2099999999995816E-2</v>
      </c>
      <c r="AG31">
        <f t="shared" si="11"/>
        <v>0.16899999999999693</v>
      </c>
      <c r="AH31">
        <f t="shared" si="11"/>
        <v>8.4500000000005571E-2</v>
      </c>
      <c r="AI31">
        <f t="shared" si="11"/>
        <v>3.2499999999998863E-2</v>
      </c>
      <c r="AJ31">
        <f t="shared" si="11"/>
        <v>1.3099999999994338E-2</v>
      </c>
      <c r="AK31">
        <f t="shared" si="11"/>
        <v>6.6000000000059345E-3</v>
      </c>
      <c r="AL31">
        <f t="shared" si="11"/>
        <v>7.1600000000003661E-2</v>
      </c>
      <c r="AM31">
        <f t="shared" si="6"/>
        <v>55.497</v>
      </c>
      <c r="AN31" s="70">
        <f t="shared" si="3"/>
        <v>63.818199999999969</v>
      </c>
      <c r="AO31" s="70">
        <v>65</v>
      </c>
      <c r="AP31" s="70">
        <f t="shared" si="4"/>
        <v>1.0185182283423855</v>
      </c>
    </row>
    <row r="32" spans="1:42" x14ac:dyDescent="0.25">
      <c r="A32">
        <v>350290003</v>
      </c>
      <c r="B32">
        <v>32.255800000000001</v>
      </c>
      <c r="C32">
        <v>-107.7227</v>
      </c>
      <c r="D32" t="s">
        <v>50</v>
      </c>
      <c r="E32" t="s">
        <v>54</v>
      </c>
      <c r="G32">
        <f t="shared" ref="G32:AL32" si="12">$F13-G13</f>
        <v>0.42849999999999966</v>
      </c>
      <c r="H32">
        <f t="shared" si="12"/>
        <v>0.46629999999999683</v>
      </c>
      <c r="I32">
        <f t="shared" si="12"/>
        <v>0.50399999999999778</v>
      </c>
      <c r="J32">
        <f t="shared" si="12"/>
        <v>0.11339999999999861</v>
      </c>
      <c r="K32">
        <f t="shared" si="12"/>
        <v>9.4499999999996476E-2</v>
      </c>
      <c r="L32">
        <f t="shared" si="12"/>
        <v>6.3000000000030809E-3</v>
      </c>
      <c r="M32">
        <f t="shared" si="12"/>
        <v>6.3000000000030809E-3</v>
      </c>
      <c r="N32">
        <f t="shared" si="12"/>
        <v>0.8504999999999967</v>
      </c>
      <c r="O32">
        <f t="shared" si="12"/>
        <v>2.0097999999999985</v>
      </c>
      <c r="P32">
        <f t="shared" si="12"/>
        <v>1.1024999999999991</v>
      </c>
      <c r="Q32">
        <f t="shared" si="12"/>
        <v>0.63009999999999877</v>
      </c>
      <c r="R32">
        <f t="shared" si="12"/>
        <v>0.45369999999999777</v>
      </c>
      <c r="S32">
        <f t="shared" si="12"/>
        <v>0.42219999999999658</v>
      </c>
      <c r="T32">
        <f t="shared" si="12"/>
        <v>0.39059999999999917</v>
      </c>
      <c r="U32">
        <f t="shared" si="12"/>
        <v>0.29619999999999891</v>
      </c>
      <c r="V32">
        <f t="shared" si="12"/>
        <v>0.18910000000000338</v>
      </c>
      <c r="W32">
        <f t="shared" si="12"/>
        <v>0.33389999999999986</v>
      </c>
      <c r="X32">
        <f t="shared" si="12"/>
        <v>1.0394999999999968</v>
      </c>
      <c r="Y32">
        <f t="shared" si="12"/>
        <v>6.3000000000030809E-3</v>
      </c>
      <c r="Z32">
        <f t="shared" si="12"/>
        <v>1.8900000000002137E-2</v>
      </c>
      <c r="AA32">
        <f t="shared" si="12"/>
        <v>0.11979999999999791</v>
      </c>
      <c r="AB32">
        <f t="shared" si="12"/>
        <v>0.19530000000000314</v>
      </c>
      <c r="AC32">
        <f t="shared" si="12"/>
        <v>0.69939999999999714</v>
      </c>
      <c r="AD32">
        <f t="shared" si="12"/>
        <v>0.24569999999999936</v>
      </c>
      <c r="AE32">
        <f t="shared" si="12"/>
        <v>2.5199999999998113E-2</v>
      </c>
      <c r="AF32">
        <f t="shared" si="12"/>
        <v>0.11979999999999791</v>
      </c>
      <c r="AG32">
        <f t="shared" si="12"/>
        <v>0.20790000000000219</v>
      </c>
      <c r="AH32">
        <f t="shared" si="12"/>
        <v>6.3099999999998602E-2</v>
      </c>
      <c r="AI32">
        <f t="shared" si="12"/>
        <v>4.4199999999996464E-2</v>
      </c>
      <c r="AJ32">
        <f t="shared" si="12"/>
        <v>3.1500000000001194E-2</v>
      </c>
      <c r="AK32">
        <f t="shared" si="12"/>
        <v>6.3000000000030809E-3</v>
      </c>
      <c r="AL32">
        <f t="shared" si="12"/>
        <v>3.1500000000001194E-2</v>
      </c>
      <c r="AM32">
        <f t="shared" si="6"/>
        <v>50.985900000000001</v>
      </c>
      <c r="AN32" s="70">
        <f t="shared" si="3"/>
        <v>62.138199999999983</v>
      </c>
      <c r="AO32" s="70">
        <v>63</v>
      </c>
      <c r="AP32" s="70">
        <f t="shared" si="4"/>
        <v>1.0138690853613399</v>
      </c>
    </row>
    <row r="33" spans="1:42" x14ac:dyDescent="0.25">
      <c r="A33">
        <v>481410029</v>
      </c>
      <c r="B33">
        <v>31.785768999999998</v>
      </c>
      <c r="C33">
        <v>-106.323578</v>
      </c>
      <c r="D33" t="s">
        <v>55</v>
      </c>
      <c r="E33" t="s">
        <v>56</v>
      </c>
      <c r="G33">
        <f t="shared" ref="G33:AL33" si="13">$F14-G14</f>
        <v>0.50060000000000571</v>
      </c>
      <c r="H33">
        <f t="shared" si="13"/>
        <v>0.87749999999999773</v>
      </c>
      <c r="I33">
        <f t="shared" si="13"/>
        <v>1.7809999999999988</v>
      </c>
      <c r="J33">
        <f t="shared" si="13"/>
        <v>0.14960000000000662</v>
      </c>
      <c r="K33">
        <f t="shared" si="13"/>
        <v>3.9100000000004798E-2</v>
      </c>
      <c r="L33">
        <f t="shared" si="13"/>
        <v>6.6000000000059345E-3</v>
      </c>
      <c r="M33">
        <f t="shared" si="13"/>
        <v>6.6000000000059345E-3</v>
      </c>
      <c r="N33">
        <f t="shared" si="13"/>
        <v>1.9499999999993634E-2</v>
      </c>
      <c r="O33">
        <f t="shared" si="13"/>
        <v>0.70860000000000412</v>
      </c>
      <c r="P33">
        <f t="shared" si="13"/>
        <v>4.5889999999999986</v>
      </c>
      <c r="Q33">
        <f t="shared" si="13"/>
        <v>2.820999999999998</v>
      </c>
      <c r="R33">
        <f t="shared" si="13"/>
        <v>0.31860000000000355</v>
      </c>
      <c r="S33">
        <f t="shared" si="13"/>
        <v>0.25360000000000582</v>
      </c>
      <c r="T33">
        <f t="shared" si="13"/>
        <v>1.1505999999999972</v>
      </c>
      <c r="U33">
        <f t="shared" si="13"/>
        <v>1.1895000000000024</v>
      </c>
      <c r="V33">
        <f t="shared" si="13"/>
        <v>0.13649999999999807</v>
      </c>
      <c r="W33">
        <f t="shared" si="13"/>
        <v>0.19499999999999318</v>
      </c>
      <c r="X33">
        <f t="shared" si="13"/>
        <v>0.51999999999999602</v>
      </c>
      <c r="Y33">
        <f t="shared" si="13"/>
        <v>6.6000000000059345E-3</v>
      </c>
      <c r="Z33">
        <f t="shared" si="13"/>
        <v>1.3099999999994338E-2</v>
      </c>
      <c r="AA33">
        <f t="shared" si="13"/>
        <v>5.2099999999995816E-2</v>
      </c>
      <c r="AB33">
        <f t="shared" si="13"/>
        <v>0.26649999999999352</v>
      </c>
      <c r="AC33">
        <f t="shared" si="13"/>
        <v>0.76699999999999591</v>
      </c>
      <c r="AD33">
        <f t="shared" si="13"/>
        <v>0.13649999999999807</v>
      </c>
      <c r="AE33">
        <f t="shared" si="13"/>
        <v>1.3099999999994338E-2</v>
      </c>
      <c r="AF33">
        <f t="shared" si="13"/>
        <v>0.38349999999999795</v>
      </c>
      <c r="AG33">
        <f t="shared" si="13"/>
        <v>0.90999999999999659</v>
      </c>
      <c r="AH33">
        <f t="shared" si="13"/>
        <v>3.9100000000004798E-2</v>
      </c>
      <c r="AI33">
        <f t="shared" si="13"/>
        <v>4.5599999999993202E-2</v>
      </c>
      <c r="AJ33">
        <f t="shared" si="13"/>
        <v>0.47450000000000614</v>
      </c>
      <c r="AK33">
        <f t="shared" si="13"/>
        <v>5.8499999999995111E-2</v>
      </c>
      <c r="AL33">
        <f t="shared" si="13"/>
        <v>3.2499999999998863E-2</v>
      </c>
      <c r="AM33">
        <f t="shared" si="6"/>
        <v>46.579099999999997</v>
      </c>
      <c r="AN33" s="70">
        <f t="shared" si="3"/>
        <v>65.040599999999984</v>
      </c>
      <c r="AO33" s="70">
        <v>65</v>
      </c>
      <c r="AP33" s="70">
        <f t="shared" si="4"/>
        <v>0.9993757745162255</v>
      </c>
    </row>
    <row r="34" spans="1:42" x14ac:dyDescent="0.25">
      <c r="A34">
        <v>481410037</v>
      </c>
      <c r="B34">
        <v>31.768291000000001</v>
      </c>
      <c r="C34">
        <v>-106.50126</v>
      </c>
      <c r="D34" t="s">
        <v>55</v>
      </c>
      <c r="E34" t="s">
        <v>56</v>
      </c>
      <c r="G34">
        <f t="shared" ref="G34:AL34" si="14">$F15-G15</f>
        <v>0.54680000000000462</v>
      </c>
      <c r="H34">
        <f t="shared" si="14"/>
        <v>0.90879999999999939</v>
      </c>
      <c r="I34">
        <f t="shared" si="14"/>
        <v>1.6615000000000038</v>
      </c>
      <c r="J34">
        <f t="shared" si="14"/>
        <v>8.5300000000003706E-2</v>
      </c>
      <c r="K34">
        <f t="shared" si="14"/>
        <v>3.5499999999998977E-2</v>
      </c>
      <c r="L34">
        <f t="shared" si="14"/>
        <v>1.4300000000005753E-2</v>
      </c>
      <c r="M34">
        <f t="shared" si="14"/>
        <v>7.099999999994111E-3</v>
      </c>
      <c r="N34">
        <f t="shared" si="14"/>
        <v>5.6799999999995521E-2</v>
      </c>
      <c r="O34">
        <f t="shared" si="14"/>
        <v>0.96559999999999491</v>
      </c>
      <c r="P34">
        <f t="shared" si="14"/>
        <v>3.6068000000000069</v>
      </c>
      <c r="Q34">
        <f t="shared" si="14"/>
        <v>3.1950999999999965</v>
      </c>
      <c r="R34">
        <f t="shared" si="14"/>
        <v>0.18470000000000653</v>
      </c>
      <c r="S34">
        <f t="shared" si="14"/>
        <v>0.32659999999999911</v>
      </c>
      <c r="T34">
        <f t="shared" si="14"/>
        <v>0.90179999999999438</v>
      </c>
      <c r="U34">
        <f t="shared" si="14"/>
        <v>1.1431999999999931</v>
      </c>
      <c r="V34">
        <f t="shared" si="14"/>
        <v>7.0999999999997954E-2</v>
      </c>
      <c r="W34">
        <f t="shared" si="14"/>
        <v>0.26279999999999859</v>
      </c>
      <c r="X34">
        <f t="shared" si="14"/>
        <v>0.81650000000000489</v>
      </c>
      <c r="Y34">
        <f t="shared" si="14"/>
        <v>7.099999999994111E-3</v>
      </c>
      <c r="Z34">
        <f t="shared" si="14"/>
        <v>1.4300000000005753E-2</v>
      </c>
      <c r="AA34">
        <f t="shared" si="14"/>
        <v>0.13500000000000512</v>
      </c>
      <c r="AB34">
        <f t="shared" si="14"/>
        <v>0.34789999999999566</v>
      </c>
      <c r="AC34">
        <f t="shared" si="14"/>
        <v>1.1787000000000063</v>
      </c>
      <c r="AD34">
        <f t="shared" si="14"/>
        <v>0.12069999999999936</v>
      </c>
      <c r="AE34">
        <f t="shared" si="14"/>
        <v>2.1299999999996544E-2</v>
      </c>
      <c r="AF34">
        <f t="shared" si="14"/>
        <v>0.46869999999999834</v>
      </c>
      <c r="AG34">
        <f t="shared" si="14"/>
        <v>1.1998999999999995</v>
      </c>
      <c r="AH34">
        <f t="shared" si="14"/>
        <v>2.8400000000004866E-2</v>
      </c>
      <c r="AI34">
        <f t="shared" si="14"/>
        <v>4.9800000000004729E-2</v>
      </c>
      <c r="AJ34">
        <f t="shared" si="14"/>
        <v>0.37640000000000384</v>
      </c>
      <c r="AK34">
        <f t="shared" si="14"/>
        <v>0.10649999999999693</v>
      </c>
      <c r="AL34">
        <f t="shared" si="14"/>
        <v>1.4300000000005753E-2</v>
      </c>
      <c r="AM34">
        <f t="shared" si="6"/>
        <v>52.114000000000004</v>
      </c>
      <c r="AN34" s="70">
        <f t="shared" si="3"/>
        <v>70.97320000000002</v>
      </c>
      <c r="AO34" s="70">
        <v>71</v>
      </c>
      <c r="AP34" s="70">
        <f t="shared" si="4"/>
        <v>1.0003776073222002</v>
      </c>
    </row>
    <row r="35" spans="1:42" x14ac:dyDescent="0.25">
      <c r="A35">
        <v>481410044</v>
      </c>
      <c r="B35">
        <v>31.765685000000001</v>
      </c>
      <c r="C35">
        <v>-106.45522699999999</v>
      </c>
      <c r="D35" t="s">
        <v>55</v>
      </c>
      <c r="E35" t="s">
        <v>56</v>
      </c>
      <c r="G35">
        <f t="shared" ref="G35:AL35" si="15">$F16-G16</f>
        <v>0.67629999999999768</v>
      </c>
      <c r="H35">
        <f t="shared" si="15"/>
        <v>0.89709999999999468</v>
      </c>
      <c r="I35">
        <f t="shared" si="15"/>
        <v>1.7939999999999969</v>
      </c>
      <c r="J35">
        <f t="shared" si="15"/>
        <v>0.15869999999999607</v>
      </c>
      <c r="K35">
        <f t="shared" si="15"/>
        <v>4.8299999999997567E-2</v>
      </c>
      <c r="L35">
        <f t="shared" si="15"/>
        <v>7.0000000000050022E-3</v>
      </c>
      <c r="M35">
        <f t="shared" si="15"/>
        <v>7.0000000000050022E-3</v>
      </c>
      <c r="N35">
        <f t="shared" si="15"/>
        <v>2.0700000000005048E-2</v>
      </c>
      <c r="O35">
        <f t="shared" si="15"/>
        <v>1.0764000000000067</v>
      </c>
      <c r="P35">
        <f t="shared" si="15"/>
        <v>3.8157999999999959</v>
      </c>
      <c r="Q35">
        <f t="shared" si="15"/>
        <v>3.0498999999999938</v>
      </c>
      <c r="R35">
        <f t="shared" si="15"/>
        <v>0.3311999999999955</v>
      </c>
      <c r="S35">
        <f t="shared" si="15"/>
        <v>0.35890000000000555</v>
      </c>
      <c r="T35">
        <f t="shared" si="15"/>
        <v>0.94540000000000646</v>
      </c>
      <c r="U35">
        <f t="shared" si="15"/>
        <v>1.2420999999999935</v>
      </c>
      <c r="V35">
        <f t="shared" si="15"/>
        <v>0.14490000000000691</v>
      </c>
      <c r="W35">
        <f t="shared" si="15"/>
        <v>0.24850000000000705</v>
      </c>
      <c r="X35">
        <f t="shared" si="15"/>
        <v>0.68309999999999604</v>
      </c>
      <c r="Y35">
        <f t="shared" si="15"/>
        <v>7.0000000000050022E-3</v>
      </c>
      <c r="Z35">
        <f t="shared" si="15"/>
        <v>1.3900000000006685E-2</v>
      </c>
      <c r="AA35">
        <f t="shared" si="15"/>
        <v>6.9100000000005934E-2</v>
      </c>
      <c r="AB35">
        <f t="shared" si="15"/>
        <v>0.38649999999999807</v>
      </c>
      <c r="AC35">
        <f t="shared" si="15"/>
        <v>0.97979999999999734</v>
      </c>
      <c r="AD35">
        <f t="shared" si="15"/>
        <v>0.15179999999999438</v>
      </c>
      <c r="AE35">
        <f t="shared" si="15"/>
        <v>2.0700000000005048E-2</v>
      </c>
      <c r="AF35">
        <f t="shared" si="15"/>
        <v>0.54519999999999413</v>
      </c>
      <c r="AG35">
        <f t="shared" si="15"/>
        <v>1.0280999999999949</v>
      </c>
      <c r="AH35">
        <f t="shared" si="15"/>
        <v>4.1499999999999204E-2</v>
      </c>
      <c r="AI35">
        <f t="shared" si="15"/>
        <v>6.2200000000004252E-2</v>
      </c>
      <c r="AJ35">
        <f t="shared" si="15"/>
        <v>0.40019999999999811</v>
      </c>
      <c r="AK35">
        <f t="shared" si="15"/>
        <v>8.9699999999993452E-2</v>
      </c>
      <c r="AL35">
        <f t="shared" si="15"/>
        <v>2.760000000000673E-2</v>
      </c>
      <c r="AM35">
        <f t="shared" si="6"/>
        <v>49.631699999999995</v>
      </c>
      <c r="AN35" s="70">
        <f t="shared" si="3"/>
        <v>68.960300000000004</v>
      </c>
      <c r="AO35" s="70">
        <v>69</v>
      </c>
      <c r="AP35" s="70">
        <f t="shared" si="4"/>
        <v>1.0005756935512171</v>
      </c>
    </row>
    <row r="36" spans="1:42" x14ac:dyDescent="0.25">
      <c r="A36">
        <v>481410055</v>
      </c>
      <c r="B36">
        <v>31.746775</v>
      </c>
      <c r="C36">
        <v>-106.402806</v>
      </c>
      <c r="D36" t="s">
        <v>55</v>
      </c>
      <c r="E36" t="s">
        <v>56</v>
      </c>
      <c r="G36">
        <f t="shared" ref="G36:AL36" si="16">$F17-G17</f>
        <v>0.61379999999999768</v>
      </c>
      <c r="H36">
        <f t="shared" si="16"/>
        <v>0.85139999999999816</v>
      </c>
      <c r="I36">
        <f t="shared" si="16"/>
        <v>1.6962000000000046</v>
      </c>
      <c r="J36">
        <f t="shared" si="16"/>
        <v>0.15850000000000364</v>
      </c>
      <c r="K36">
        <f t="shared" si="16"/>
        <v>4.6199999999998909E-2</v>
      </c>
      <c r="L36">
        <f t="shared" si="16"/>
        <v>6.6999999999950433E-3</v>
      </c>
      <c r="M36">
        <f t="shared" si="16"/>
        <v>6.6999999999950433E-3</v>
      </c>
      <c r="N36">
        <f t="shared" si="16"/>
        <v>1.9900000000006912E-2</v>
      </c>
      <c r="O36">
        <f t="shared" si="16"/>
        <v>0.93059999999999832</v>
      </c>
      <c r="P36">
        <f t="shared" si="16"/>
        <v>3.9930999999999983</v>
      </c>
      <c r="Q36">
        <f t="shared" si="16"/>
        <v>3.2274999999999991</v>
      </c>
      <c r="R36">
        <f t="shared" si="16"/>
        <v>0.32999999999999829</v>
      </c>
      <c r="S36">
        <f t="shared" si="16"/>
        <v>0.32349999999999568</v>
      </c>
      <c r="T36">
        <f t="shared" si="16"/>
        <v>1.0164999999999935</v>
      </c>
      <c r="U36">
        <f t="shared" si="16"/>
        <v>1.2013000000000034</v>
      </c>
      <c r="V36">
        <f t="shared" si="16"/>
        <v>0.14530000000000598</v>
      </c>
      <c r="W36">
        <f t="shared" si="16"/>
        <v>0.2377000000000038</v>
      </c>
      <c r="X36">
        <f t="shared" si="16"/>
        <v>0.64679999999999893</v>
      </c>
      <c r="Y36">
        <f t="shared" si="16"/>
        <v>6.6999999999950433E-3</v>
      </c>
      <c r="Z36">
        <f t="shared" si="16"/>
        <v>1.3199999999997658E-2</v>
      </c>
      <c r="AA36">
        <f t="shared" si="16"/>
        <v>5.9399999999996567E-2</v>
      </c>
      <c r="AB36">
        <f t="shared" si="16"/>
        <v>0.32349999999999568</v>
      </c>
      <c r="AC36">
        <f t="shared" si="16"/>
        <v>0.87130000000000507</v>
      </c>
      <c r="AD36">
        <f t="shared" si="16"/>
        <v>0.15179999999999438</v>
      </c>
      <c r="AE36">
        <f t="shared" si="16"/>
        <v>1.9900000000006912E-2</v>
      </c>
      <c r="AF36">
        <f t="shared" si="16"/>
        <v>0.38939999999999486</v>
      </c>
      <c r="AG36">
        <f t="shared" si="16"/>
        <v>0.97679999999999723</v>
      </c>
      <c r="AH36">
        <f t="shared" si="16"/>
        <v>3.9699999999996294E-2</v>
      </c>
      <c r="AI36">
        <f t="shared" si="16"/>
        <v>5.2899999999993952E-2</v>
      </c>
      <c r="AJ36">
        <f t="shared" si="16"/>
        <v>0.38939999999999486</v>
      </c>
      <c r="AK36">
        <f t="shared" si="16"/>
        <v>6.6100000000005821E-2</v>
      </c>
      <c r="AL36">
        <f t="shared" si="16"/>
        <v>3.310000000000457E-2</v>
      </c>
      <c r="AM36">
        <f t="shared" si="6"/>
        <v>47.124099999999999</v>
      </c>
      <c r="AN36" s="70">
        <f t="shared" si="3"/>
        <v>65.968999999999966</v>
      </c>
      <c r="AO36" s="70">
        <v>66.3</v>
      </c>
      <c r="AP36" s="70">
        <f t="shared" si="4"/>
        <v>1.00501750822356</v>
      </c>
    </row>
    <row r="37" spans="1:42" x14ac:dyDescent="0.25">
      <c r="A37">
        <v>481410057</v>
      </c>
      <c r="B37">
        <v>31.6675</v>
      </c>
      <c r="C37">
        <v>-106.288</v>
      </c>
      <c r="D37" t="s">
        <v>55</v>
      </c>
      <c r="E37" t="s">
        <v>56</v>
      </c>
      <c r="G37">
        <f t="shared" ref="G37:AL37" si="17">$F18-G18</f>
        <v>0.58750000000000568</v>
      </c>
      <c r="H37">
        <f t="shared" si="17"/>
        <v>0.8580999999999932</v>
      </c>
      <c r="I37">
        <f t="shared" si="17"/>
        <v>1.518100000000004</v>
      </c>
      <c r="J37">
        <f t="shared" si="17"/>
        <v>0.2377000000000038</v>
      </c>
      <c r="K37">
        <f t="shared" si="17"/>
        <v>4.6199999999998909E-2</v>
      </c>
      <c r="L37">
        <f t="shared" si="17"/>
        <v>6.6999999999950433E-3</v>
      </c>
      <c r="M37">
        <f t="shared" si="17"/>
        <v>1.3199999999997658E-2</v>
      </c>
      <c r="N37">
        <f t="shared" si="17"/>
        <v>5.2899999999993952E-2</v>
      </c>
      <c r="O37">
        <f t="shared" si="17"/>
        <v>0.87130000000000507</v>
      </c>
      <c r="P37">
        <f t="shared" si="17"/>
        <v>3.9600999999999971</v>
      </c>
      <c r="Q37">
        <f t="shared" si="17"/>
        <v>2.9635000000000034</v>
      </c>
      <c r="R37">
        <f t="shared" si="17"/>
        <v>0.56759999999999877</v>
      </c>
      <c r="S37">
        <f t="shared" si="17"/>
        <v>0.3037000000000063</v>
      </c>
      <c r="T37">
        <f t="shared" si="17"/>
        <v>1.0824000000000069</v>
      </c>
      <c r="U37">
        <f t="shared" si="17"/>
        <v>1.1021999999999963</v>
      </c>
      <c r="V37">
        <f t="shared" si="17"/>
        <v>0.23099999999999454</v>
      </c>
      <c r="W37">
        <f t="shared" si="17"/>
        <v>0.21129999999999427</v>
      </c>
      <c r="X37">
        <f t="shared" si="17"/>
        <v>0.60070000000000334</v>
      </c>
      <c r="Y37">
        <f t="shared" si="17"/>
        <v>6.6999999999950433E-3</v>
      </c>
      <c r="Z37">
        <f t="shared" si="17"/>
        <v>1.3199999999997658E-2</v>
      </c>
      <c r="AA37">
        <f t="shared" si="17"/>
        <v>5.9399999999996567E-2</v>
      </c>
      <c r="AB37">
        <f t="shared" si="17"/>
        <v>0.21129999999999427</v>
      </c>
      <c r="AC37">
        <f t="shared" si="17"/>
        <v>0.77889999999999304</v>
      </c>
      <c r="AD37">
        <f t="shared" si="17"/>
        <v>0.21129999999999427</v>
      </c>
      <c r="AE37">
        <f t="shared" si="17"/>
        <v>1.3199999999997658E-2</v>
      </c>
      <c r="AF37">
        <f t="shared" si="17"/>
        <v>0.24429999999999552</v>
      </c>
      <c r="AG37">
        <f t="shared" si="17"/>
        <v>0.82510000000000616</v>
      </c>
      <c r="AH37">
        <f t="shared" si="17"/>
        <v>5.2899999999993952E-2</v>
      </c>
      <c r="AI37">
        <f t="shared" si="17"/>
        <v>4.6199999999998909E-2</v>
      </c>
      <c r="AJ37">
        <f t="shared" si="17"/>
        <v>0.33669999999999334</v>
      </c>
      <c r="AK37">
        <f t="shared" si="17"/>
        <v>3.9699999999996294E-2</v>
      </c>
      <c r="AL37">
        <f t="shared" si="17"/>
        <v>5.2899999999993952E-2</v>
      </c>
      <c r="AM37">
        <f t="shared" si="6"/>
        <v>47.7973</v>
      </c>
      <c r="AN37" s="70">
        <f t="shared" si="3"/>
        <v>65.903299999999945</v>
      </c>
      <c r="AO37" s="70">
        <v>66</v>
      </c>
      <c r="AP37" s="70">
        <f t="shared" si="4"/>
        <v>1.001467301333925</v>
      </c>
    </row>
    <row r="38" spans="1:42" x14ac:dyDescent="0.25">
      <c r="A38">
        <v>481410058</v>
      </c>
      <c r="B38">
        <v>31.893913000000001</v>
      </c>
      <c r="C38">
        <v>-106.425827</v>
      </c>
      <c r="D38" t="s">
        <v>55</v>
      </c>
      <c r="E38" t="s">
        <v>56</v>
      </c>
      <c r="G38">
        <f t="shared" ref="G38:AL38" si="18">$F19-G19</f>
        <v>0.61019999999999186</v>
      </c>
      <c r="H38">
        <f t="shared" si="18"/>
        <v>0.88060000000000116</v>
      </c>
      <c r="I38">
        <f t="shared" si="18"/>
        <v>1.6847999999999956</v>
      </c>
      <c r="J38">
        <f t="shared" si="18"/>
        <v>0.18029999999998836</v>
      </c>
      <c r="K38">
        <f t="shared" si="18"/>
        <v>9.0199999999995839E-2</v>
      </c>
      <c r="L38">
        <f t="shared" si="18"/>
        <v>6.9999999999907914E-3</v>
      </c>
      <c r="M38">
        <f t="shared" si="18"/>
        <v>6.9999999999907914E-3</v>
      </c>
      <c r="N38">
        <f t="shared" si="18"/>
        <v>1.3899999999992474E-2</v>
      </c>
      <c r="O38">
        <f t="shared" si="18"/>
        <v>1.0608000000000004</v>
      </c>
      <c r="P38">
        <f t="shared" si="18"/>
        <v>5.2069999999999936</v>
      </c>
      <c r="Q38">
        <f t="shared" si="18"/>
        <v>2.475200000000001</v>
      </c>
      <c r="R38">
        <f t="shared" si="18"/>
        <v>0.3813999999999993</v>
      </c>
      <c r="S38">
        <f t="shared" si="18"/>
        <v>0.35360000000000014</v>
      </c>
      <c r="T38">
        <f t="shared" si="18"/>
        <v>1.2618999999999971</v>
      </c>
      <c r="U38">
        <f t="shared" si="18"/>
        <v>1.0538999999999987</v>
      </c>
      <c r="V38">
        <f t="shared" si="18"/>
        <v>0.1594999999999942</v>
      </c>
      <c r="W38">
        <f t="shared" si="18"/>
        <v>0.24269999999999925</v>
      </c>
      <c r="X38">
        <f t="shared" si="18"/>
        <v>0.67949999999999022</v>
      </c>
      <c r="Y38">
        <f t="shared" si="18"/>
        <v>6.9999999999907914E-3</v>
      </c>
      <c r="Z38">
        <f t="shared" si="18"/>
        <v>2.0799999999994156E-2</v>
      </c>
      <c r="AA38">
        <f t="shared" si="18"/>
        <v>6.9399999999987472E-2</v>
      </c>
      <c r="AB38">
        <f t="shared" si="18"/>
        <v>0.43679999999999097</v>
      </c>
      <c r="AC38">
        <f t="shared" si="18"/>
        <v>0.963799999999992</v>
      </c>
      <c r="AD38">
        <f t="shared" si="18"/>
        <v>0.20799999999999841</v>
      </c>
      <c r="AE38">
        <f t="shared" si="18"/>
        <v>2.0799999999994156E-2</v>
      </c>
      <c r="AF38">
        <f t="shared" si="18"/>
        <v>0.56859999999998934</v>
      </c>
      <c r="AG38">
        <f t="shared" si="18"/>
        <v>0.74190000000000111</v>
      </c>
      <c r="AH38">
        <f t="shared" si="18"/>
        <v>4.8599999999993315E-2</v>
      </c>
      <c r="AI38">
        <f t="shared" si="18"/>
        <v>5.5499999999994998E-2</v>
      </c>
      <c r="AJ38">
        <f t="shared" si="18"/>
        <v>0.41599999999999682</v>
      </c>
      <c r="AK38">
        <f t="shared" si="18"/>
        <v>6.239999999999668E-2</v>
      </c>
      <c r="AL38">
        <f t="shared" si="18"/>
        <v>2.7799999999999159E-2</v>
      </c>
      <c r="AM38">
        <f t="shared" si="6"/>
        <v>49.240599999999993</v>
      </c>
      <c r="AN38" s="70">
        <f t="shared" si="3"/>
        <v>69.237499999999841</v>
      </c>
      <c r="AO38" s="70">
        <v>69.3</v>
      </c>
      <c r="AP38" s="70">
        <f t="shared" si="4"/>
        <v>1.0009026900162508</v>
      </c>
    </row>
    <row r="39" spans="1:42" ht="21" x14ac:dyDescent="0.35">
      <c r="A39" s="14" t="s">
        <v>206</v>
      </c>
    </row>
    <row r="40" spans="1:42" x14ac:dyDescent="0.25">
      <c r="A40" s="1" t="s">
        <v>57</v>
      </c>
      <c r="B40" s="1" t="s">
        <v>58</v>
      </c>
      <c r="C40" s="1" t="s">
        <v>59</v>
      </c>
      <c r="D40" s="1" t="s">
        <v>60</v>
      </c>
      <c r="E40" s="1" t="s">
        <v>61</v>
      </c>
      <c r="F40" s="1" t="s">
        <v>200</v>
      </c>
      <c r="G40" s="1" t="s">
        <v>72</v>
      </c>
      <c r="H40" s="1" t="s">
        <v>74</v>
      </c>
      <c r="I40" s="1" t="s">
        <v>75</v>
      </c>
      <c r="J40" s="1" t="s">
        <v>76</v>
      </c>
      <c r="K40" s="1" t="s">
        <v>77</v>
      </c>
      <c r="L40" s="1" t="s">
        <v>78</v>
      </c>
      <c r="M40" s="1" t="s">
        <v>79</v>
      </c>
      <c r="N40" s="1" t="s">
        <v>80</v>
      </c>
      <c r="O40" s="1" t="s">
        <v>81</v>
      </c>
      <c r="P40" s="1" t="s">
        <v>82</v>
      </c>
      <c r="Q40" s="1" t="s">
        <v>83</v>
      </c>
      <c r="R40" s="1" t="s">
        <v>84</v>
      </c>
      <c r="S40" s="1" t="s">
        <v>85</v>
      </c>
      <c r="T40" s="1" t="s">
        <v>86</v>
      </c>
      <c r="U40" s="1" t="s">
        <v>87</v>
      </c>
      <c r="V40" s="1" t="s">
        <v>88</v>
      </c>
      <c r="W40" s="1" t="s">
        <v>89</v>
      </c>
      <c r="X40" s="1" t="s">
        <v>90</v>
      </c>
      <c r="Y40" s="1" t="s">
        <v>91</v>
      </c>
      <c r="Z40" s="1" t="s">
        <v>92</v>
      </c>
      <c r="AA40" s="1" t="s">
        <v>93</v>
      </c>
      <c r="AB40" s="1" t="s">
        <v>94</v>
      </c>
      <c r="AC40" s="1" t="s">
        <v>95</v>
      </c>
      <c r="AD40" s="1" t="s">
        <v>96</v>
      </c>
      <c r="AE40" s="1" t="s">
        <v>97</v>
      </c>
      <c r="AF40" s="1" t="s">
        <v>98</v>
      </c>
      <c r="AG40" s="1" t="s">
        <v>99</v>
      </c>
      <c r="AH40" s="1" t="s">
        <v>100</v>
      </c>
      <c r="AI40" s="1" t="s">
        <v>101</v>
      </c>
      <c r="AJ40" s="1" t="s">
        <v>102</v>
      </c>
      <c r="AK40" s="1" t="s">
        <v>103</v>
      </c>
      <c r="AL40" s="1" t="s">
        <v>104</v>
      </c>
      <c r="AM40" s="1" t="s">
        <v>187</v>
      </c>
      <c r="AN40" s="1" t="s">
        <v>208</v>
      </c>
    </row>
    <row r="41" spans="1:42" x14ac:dyDescent="0.25">
      <c r="A41">
        <v>350130008</v>
      </c>
      <c r="B41">
        <v>31.930555999999999</v>
      </c>
      <c r="C41">
        <v>-106.630556</v>
      </c>
      <c r="D41" t="s">
        <v>50</v>
      </c>
      <c r="E41" t="s">
        <v>51</v>
      </c>
      <c r="G41">
        <f>G22*$AP22</f>
        <v>0.39540202997875268</v>
      </c>
      <c r="H41">
        <f t="shared" ref="H41:AM41" si="19">H22*$AP22</f>
        <v>0.75843020553845342</v>
      </c>
      <c r="I41">
        <f t="shared" si="19"/>
        <v>1.4259530242097913</v>
      </c>
      <c r="J41">
        <f t="shared" si="19"/>
        <v>5.843330379660807E-2</v>
      </c>
      <c r="K41">
        <f t="shared" si="19"/>
        <v>0.10373665425298974</v>
      </c>
      <c r="L41">
        <f t="shared" si="19"/>
        <v>1.3029724688785172E-2</v>
      </c>
      <c r="M41">
        <f t="shared" si="19"/>
        <v>6.5148623443925862E-3</v>
      </c>
      <c r="N41">
        <f t="shared" si="19"/>
        <v>6.5148623443925862E-3</v>
      </c>
      <c r="O41">
        <f t="shared" si="19"/>
        <v>1.0306512228825013</v>
      </c>
      <c r="P41">
        <f t="shared" si="19"/>
        <v>4.2584147142476443</v>
      </c>
      <c r="Q41">
        <f t="shared" si="19"/>
        <v>2.2750901593124349</v>
      </c>
      <c r="R41">
        <f t="shared" si="19"/>
        <v>0.13621073732348293</v>
      </c>
      <c r="S41">
        <f t="shared" si="19"/>
        <v>0.32413945879627043</v>
      </c>
      <c r="T41">
        <f t="shared" si="19"/>
        <v>0.88151098952169571</v>
      </c>
      <c r="U41">
        <f t="shared" si="19"/>
        <v>0.87509635582875855</v>
      </c>
      <c r="V41">
        <f t="shared" si="19"/>
        <v>5.843330379660807E-2</v>
      </c>
      <c r="W41">
        <f t="shared" si="19"/>
        <v>0.24636202526939555</v>
      </c>
      <c r="X41">
        <f t="shared" si="19"/>
        <v>0.79731892230188373</v>
      </c>
      <c r="Y41">
        <f t="shared" si="19"/>
        <v>6.5148623443925862E-3</v>
      </c>
      <c r="Z41">
        <f t="shared" si="19"/>
        <v>1.3029724688785172E-2</v>
      </c>
      <c r="AA41">
        <f t="shared" si="19"/>
        <v>3.2474083070507448E-2</v>
      </c>
      <c r="AB41">
        <f t="shared" si="19"/>
        <v>0.34358381717799269</v>
      </c>
      <c r="AC41">
        <f t="shared" si="19"/>
        <v>1.2509537987743335</v>
      </c>
      <c r="AD41">
        <f t="shared" si="19"/>
        <v>8.429229587126745E-2</v>
      </c>
      <c r="AE41">
        <f t="shared" si="19"/>
        <v>1.3029724688785172E-2</v>
      </c>
      <c r="AF41">
        <f t="shared" si="19"/>
        <v>0.35009867952237106</v>
      </c>
      <c r="AG41">
        <f t="shared" si="19"/>
        <v>0.86206663113997339</v>
      </c>
      <c r="AH41">
        <f t="shared" si="19"/>
        <v>1.9544587033177758E-2</v>
      </c>
      <c r="AI41">
        <f t="shared" si="19"/>
        <v>5.1918441452215483E-2</v>
      </c>
      <c r="AJ41">
        <f t="shared" si="19"/>
        <v>0.23984716292500297</v>
      </c>
      <c r="AK41">
        <f t="shared" si="19"/>
        <v>4.5403579107837141E-2</v>
      </c>
      <c r="AL41">
        <f t="shared" si="19"/>
        <v>6.5148623443925862E-3</v>
      </c>
      <c r="AM41">
        <f t="shared" si="19"/>
        <v>47.729485193424132</v>
      </c>
      <c r="AN41">
        <f>SUM(G41:AM41)</f>
        <v>64.7</v>
      </c>
    </row>
    <row r="42" spans="1:42" x14ac:dyDescent="0.25">
      <c r="A42">
        <v>350130017</v>
      </c>
      <c r="B42">
        <v>31.795832999999998</v>
      </c>
      <c r="C42">
        <v>-106.5575</v>
      </c>
      <c r="D42" t="s">
        <v>50</v>
      </c>
      <c r="E42" t="s">
        <v>51</v>
      </c>
      <c r="G42">
        <f t="shared" ref="G42:AM42" si="20">G23*$AP23</f>
        <v>0.49437318139005965</v>
      </c>
      <c r="H42">
        <f t="shared" si="20"/>
        <v>0.78163866802266169</v>
      </c>
      <c r="I42">
        <f t="shared" si="20"/>
        <v>1.4695929167912238</v>
      </c>
      <c r="J42">
        <f t="shared" si="20"/>
        <v>8.0257989115005895E-2</v>
      </c>
      <c r="K42">
        <f t="shared" si="20"/>
        <v>3.3465878107879758E-2</v>
      </c>
      <c r="L42">
        <f t="shared" si="20"/>
        <v>1.3426430139093662E-2</v>
      </c>
      <c r="M42">
        <f t="shared" si="20"/>
        <v>6.7132150695539501E-3</v>
      </c>
      <c r="N42">
        <f t="shared" si="20"/>
        <v>6.0218541146219801E-2</v>
      </c>
      <c r="O42">
        <f t="shared" si="20"/>
        <v>0.93524103670343917</v>
      </c>
      <c r="P42">
        <f t="shared" si="20"/>
        <v>3.0727487542944316</v>
      </c>
      <c r="Q42">
        <f t="shared" si="20"/>
        <v>2.8457018088080424</v>
      </c>
      <c r="R42">
        <f t="shared" si="20"/>
        <v>0.16041578099016451</v>
      </c>
      <c r="S42">
        <f t="shared" si="20"/>
        <v>0.30730493460140235</v>
      </c>
      <c r="T42">
        <f t="shared" si="20"/>
        <v>0.76821223788356796</v>
      </c>
      <c r="U42">
        <f t="shared" si="20"/>
        <v>0.98203314771056527</v>
      </c>
      <c r="V42">
        <f t="shared" si="20"/>
        <v>6.6831558975926478E-2</v>
      </c>
      <c r="W42">
        <f t="shared" si="20"/>
        <v>0.22714714272624373</v>
      </c>
      <c r="X42">
        <f t="shared" si="20"/>
        <v>0.70148087614750299</v>
      </c>
      <c r="Y42">
        <f t="shared" si="20"/>
        <v>6.7132150695539501E-3</v>
      </c>
      <c r="Z42">
        <f t="shared" si="20"/>
        <v>1.3426430139093662E-2</v>
      </c>
      <c r="AA42">
        <f t="shared" si="20"/>
        <v>0.12694990288228478</v>
      </c>
      <c r="AB42">
        <f t="shared" si="20"/>
        <v>0.24718659069502982</v>
      </c>
      <c r="AC42">
        <f t="shared" si="20"/>
        <v>1.2959511001416602</v>
      </c>
      <c r="AD42">
        <f t="shared" si="20"/>
        <v>0.11362366998305262</v>
      </c>
      <c r="AE42">
        <f t="shared" si="20"/>
        <v>2.0139645208633372E-2</v>
      </c>
      <c r="AF42">
        <f t="shared" si="20"/>
        <v>0.3473838305389888</v>
      </c>
      <c r="AG42">
        <f t="shared" si="20"/>
        <v>1.1088828533530029</v>
      </c>
      <c r="AH42">
        <f t="shared" si="20"/>
        <v>2.6752663038340046E-2</v>
      </c>
      <c r="AI42">
        <f t="shared" si="20"/>
        <v>5.3505326076680092E-2</v>
      </c>
      <c r="AJ42">
        <f t="shared" si="20"/>
        <v>0.32073136474049602</v>
      </c>
      <c r="AK42">
        <f t="shared" si="20"/>
        <v>9.3584222014252288E-2</v>
      </c>
      <c r="AL42">
        <f t="shared" si="20"/>
        <v>1.3426430139093662E-2</v>
      </c>
      <c r="AM42">
        <f t="shared" si="20"/>
        <v>49.904938657356858</v>
      </c>
      <c r="AN42">
        <f t="shared" ref="AN42:AN57" si="21">SUM(G42:AM42)</f>
        <v>66.700000000000017</v>
      </c>
    </row>
    <row r="43" spans="1:42" x14ac:dyDescent="0.25">
      <c r="A43">
        <v>350130019</v>
      </c>
      <c r="B43">
        <v>32.424722000000003</v>
      </c>
      <c r="C43">
        <v>-106.674167</v>
      </c>
      <c r="D43" t="s">
        <v>50</v>
      </c>
      <c r="E43" t="s">
        <v>51</v>
      </c>
      <c r="G43" t="s">
        <v>62</v>
      </c>
      <c r="H43" t="s">
        <v>62</v>
      </c>
      <c r="I43" t="s">
        <v>62</v>
      </c>
      <c r="J43" t="s">
        <v>62</v>
      </c>
      <c r="K43" t="s">
        <v>62</v>
      </c>
      <c r="L43" t="s">
        <v>62</v>
      </c>
      <c r="M43" t="s">
        <v>62</v>
      </c>
      <c r="N43" t="s">
        <v>62</v>
      </c>
      <c r="O43" t="s">
        <v>62</v>
      </c>
      <c r="P43" t="s">
        <v>62</v>
      </c>
      <c r="Q43" t="s">
        <v>62</v>
      </c>
      <c r="R43" t="s">
        <v>62</v>
      </c>
      <c r="S43" t="s">
        <v>62</v>
      </c>
      <c r="T43" t="s">
        <v>62</v>
      </c>
      <c r="U43" t="s">
        <v>62</v>
      </c>
      <c r="V43" t="s">
        <v>62</v>
      </c>
      <c r="W43" t="s">
        <v>62</v>
      </c>
      <c r="X43" t="s">
        <v>62</v>
      </c>
      <c r="Y43" t="s">
        <v>62</v>
      </c>
      <c r="Z43" t="s">
        <v>62</v>
      </c>
      <c r="AA43" t="s">
        <v>62</v>
      </c>
      <c r="AB43" t="s">
        <v>62</v>
      </c>
      <c r="AC43" t="s">
        <v>62</v>
      </c>
      <c r="AD43" t="s">
        <v>62</v>
      </c>
      <c r="AE43" t="s">
        <v>62</v>
      </c>
      <c r="AF43" t="s">
        <v>62</v>
      </c>
      <c r="AG43" t="s">
        <v>62</v>
      </c>
      <c r="AH43" t="s">
        <v>62</v>
      </c>
      <c r="AI43" t="s">
        <v>62</v>
      </c>
      <c r="AJ43" t="s">
        <v>62</v>
      </c>
      <c r="AK43" t="s">
        <v>62</v>
      </c>
      <c r="AL43" t="s">
        <v>62</v>
      </c>
      <c r="AM43" t="s">
        <v>62</v>
      </c>
      <c r="AN43" t="s">
        <v>62</v>
      </c>
    </row>
    <row r="44" spans="1:42" x14ac:dyDescent="0.25">
      <c r="A44">
        <v>350130020</v>
      </c>
      <c r="B44">
        <v>32.041111000000001</v>
      </c>
      <c r="C44">
        <v>-106.409167</v>
      </c>
      <c r="D44" t="s">
        <v>50</v>
      </c>
      <c r="E44" t="s">
        <v>51</v>
      </c>
      <c r="G44">
        <f t="shared" ref="G44:AM44" si="22">G25*$AP25</f>
        <v>0.48216657279222636</v>
      </c>
      <c r="H44">
        <f t="shared" si="22"/>
        <v>0.70624106957578547</v>
      </c>
      <c r="I44">
        <f t="shared" si="22"/>
        <v>1.4938634275042288</v>
      </c>
      <c r="J44">
        <f t="shared" si="22"/>
        <v>0.15624003201613643</v>
      </c>
      <c r="K44">
        <f t="shared" si="22"/>
        <v>7.4758396822103237E-2</v>
      </c>
      <c r="L44">
        <f t="shared" si="22"/>
        <v>1.364717042659618E-2</v>
      </c>
      <c r="M44">
        <f t="shared" si="22"/>
        <v>1.364717042659618E-2</v>
      </c>
      <c r="N44">
        <f t="shared" si="22"/>
        <v>3.4017579225093783E-2</v>
      </c>
      <c r="O44">
        <f t="shared" si="22"/>
        <v>1.1001024219606876</v>
      </c>
      <c r="P44">
        <f t="shared" si="22"/>
        <v>3.9315892449530092</v>
      </c>
      <c r="Q44">
        <f t="shared" si="22"/>
        <v>1.9284655974861407</v>
      </c>
      <c r="R44">
        <f t="shared" si="22"/>
        <v>0.40750852281149841</v>
      </c>
      <c r="S44">
        <f t="shared" si="22"/>
        <v>0.32602688761746523</v>
      </c>
      <c r="T44">
        <f t="shared" si="22"/>
        <v>0.991426792754866</v>
      </c>
      <c r="U44">
        <f t="shared" si="22"/>
        <v>0.95750956037114754</v>
      </c>
      <c r="V44">
        <f t="shared" si="22"/>
        <v>0.16978685560134307</v>
      </c>
      <c r="W44">
        <f t="shared" si="22"/>
        <v>0.19015726439985492</v>
      </c>
      <c r="X44">
        <f t="shared" si="22"/>
        <v>0.6519534283935694</v>
      </c>
      <c r="Y44">
        <f t="shared" si="22"/>
        <v>6.8235852133052208E-3</v>
      </c>
      <c r="Z44">
        <f t="shared" si="22"/>
        <v>1.364717042659618E-2</v>
      </c>
      <c r="AA44">
        <f t="shared" si="22"/>
        <v>4.0841164438384744E-2</v>
      </c>
      <c r="AB44">
        <f t="shared" si="22"/>
        <v>1.0593616043636782</v>
      </c>
      <c r="AC44">
        <f t="shared" si="22"/>
        <v>0.73343506358758837</v>
      </c>
      <c r="AD44">
        <f t="shared" si="22"/>
        <v>0.19015726439985492</v>
      </c>
      <c r="AE44">
        <f t="shared" si="22"/>
        <v>1.364717042659618E-2</v>
      </c>
      <c r="AF44">
        <f t="shared" si="22"/>
        <v>0.42787893160999602</v>
      </c>
      <c r="AG44">
        <f t="shared" si="22"/>
        <v>0.64512984318027844</v>
      </c>
      <c r="AH44">
        <f t="shared" si="22"/>
        <v>4.0841164438384744E-2</v>
      </c>
      <c r="AI44">
        <f t="shared" si="22"/>
        <v>3.4017579225093783E-2</v>
      </c>
      <c r="AJ44">
        <f t="shared" si="22"/>
        <v>0.25126849079536195</v>
      </c>
      <c r="AK44">
        <f t="shared" si="22"/>
        <v>3.4017579225093783E-2</v>
      </c>
      <c r="AL44">
        <f t="shared" si="22"/>
        <v>2.7193994011802822E-2</v>
      </c>
      <c r="AM44">
        <f t="shared" si="22"/>
        <v>50.552631399519633</v>
      </c>
      <c r="AN44">
        <f t="shared" si="21"/>
        <v>67.699999999999989</v>
      </c>
    </row>
    <row r="45" spans="1:42" x14ac:dyDescent="0.25">
      <c r="A45">
        <v>350130021</v>
      </c>
      <c r="B45">
        <v>31.796111</v>
      </c>
      <c r="C45">
        <v>-106.583889</v>
      </c>
      <c r="D45" t="s">
        <v>50</v>
      </c>
      <c r="E45" t="s">
        <v>51</v>
      </c>
      <c r="G45">
        <f t="shared" ref="G45:AM45" si="23">G26*$AP26</f>
        <v>0.51144190712071391</v>
      </c>
      <c r="H45">
        <f t="shared" si="23"/>
        <v>0.85933843615763628</v>
      </c>
      <c r="I45">
        <f t="shared" si="23"/>
        <v>1.3636783727315844</v>
      </c>
      <c r="J45">
        <f t="shared" si="23"/>
        <v>7.8221703768505818E-2</v>
      </c>
      <c r="K45">
        <f t="shared" si="23"/>
        <v>3.550985273378568E-2</v>
      </c>
      <c r="L45">
        <f t="shared" si="23"/>
        <v>7.1019705467514505E-3</v>
      </c>
      <c r="M45">
        <f t="shared" si="23"/>
        <v>7.1019705467514505E-3</v>
      </c>
      <c r="N45">
        <f t="shared" si="23"/>
        <v>5.6815764374054251E-2</v>
      </c>
      <c r="O45">
        <f t="shared" si="23"/>
        <v>1.1008054347473846</v>
      </c>
      <c r="P45">
        <f t="shared" si="23"/>
        <v>3.3876399508032566</v>
      </c>
      <c r="Q45">
        <f t="shared" si="23"/>
        <v>2.6916468372210316</v>
      </c>
      <c r="R45">
        <f t="shared" si="23"/>
        <v>0.18475126196987707</v>
      </c>
      <c r="S45">
        <f t="shared" si="23"/>
        <v>0.35519855509203985</v>
      </c>
      <c r="T45">
        <f t="shared" si="23"/>
        <v>0.80262269953776499</v>
      </c>
      <c r="U45">
        <f t="shared" si="23"/>
        <v>0.90905222998493906</v>
      </c>
      <c r="V45">
        <f t="shared" si="23"/>
        <v>7.1019705467571359E-2</v>
      </c>
      <c r="W45">
        <f t="shared" si="23"/>
        <v>0.2130591164027141</v>
      </c>
      <c r="X45">
        <f t="shared" si="23"/>
        <v>0.86644040670440192</v>
      </c>
      <c r="Y45">
        <f t="shared" si="23"/>
        <v>7.1019705467514505E-3</v>
      </c>
      <c r="Z45">
        <f t="shared" si="23"/>
        <v>1.4303968847700117E-2</v>
      </c>
      <c r="AA45">
        <f t="shared" si="23"/>
        <v>0.13503746814257428</v>
      </c>
      <c r="AB45">
        <f t="shared" si="23"/>
        <v>0.28417884962446843</v>
      </c>
      <c r="AC45">
        <f t="shared" si="23"/>
        <v>1.5483296069472785</v>
      </c>
      <c r="AD45">
        <f t="shared" si="23"/>
        <v>0.12793549759580861</v>
      </c>
      <c r="AE45">
        <f t="shared" si="23"/>
        <v>1.4303968847700117E-2</v>
      </c>
      <c r="AF45">
        <f t="shared" si="23"/>
        <v>0.34799655679110536</v>
      </c>
      <c r="AG45">
        <f t="shared" si="23"/>
        <v>0.98007193545251037</v>
      </c>
      <c r="AH45">
        <f t="shared" si="23"/>
        <v>2.8407882187034231E-2</v>
      </c>
      <c r="AI45">
        <f t="shared" si="23"/>
        <v>5.6815764374054251E-2</v>
      </c>
      <c r="AJ45">
        <f t="shared" si="23"/>
        <v>0.30548476126475121</v>
      </c>
      <c r="AK45">
        <f t="shared" si="23"/>
        <v>7.8221703768505818E-2</v>
      </c>
      <c r="AL45">
        <f t="shared" si="23"/>
        <v>1.4303968847700117E-2</v>
      </c>
      <c r="AM45">
        <f t="shared" si="23"/>
        <v>53.55605992085129</v>
      </c>
      <c r="AN45">
        <f t="shared" si="21"/>
        <v>71</v>
      </c>
    </row>
    <row r="46" spans="1:42" x14ac:dyDescent="0.25">
      <c r="A46">
        <v>350130022</v>
      </c>
      <c r="B46">
        <v>31.787777999999999</v>
      </c>
      <c r="C46">
        <v>-106.682778</v>
      </c>
      <c r="D46" t="s">
        <v>50</v>
      </c>
      <c r="E46" t="s">
        <v>51</v>
      </c>
      <c r="G46">
        <f t="shared" ref="G46:AM46" si="24">G27*$AP27</f>
        <v>0.47902296353386009</v>
      </c>
      <c r="H46">
        <f t="shared" si="24"/>
        <v>0.90166082807764369</v>
      </c>
      <c r="I46">
        <f t="shared" si="24"/>
        <v>0.83826514839607758</v>
      </c>
      <c r="J46">
        <f t="shared" si="24"/>
        <v>7.0506411525780327E-2</v>
      </c>
      <c r="K46">
        <f t="shared" si="24"/>
        <v>3.5253205762883044E-2</v>
      </c>
      <c r="L46">
        <f t="shared" si="24"/>
        <v>2.1131893227179215E-2</v>
      </c>
      <c r="M46">
        <f t="shared" si="24"/>
        <v>7.1107318442142076E-3</v>
      </c>
      <c r="N46">
        <f t="shared" si="24"/>
        <v>5.6385098990076495E-2</v>
      </c>
      <c r="O46">
        <f t="shared" si="24"/>
        <v>1.2538924322483858</v>
      </c>
      <c r="P46">
        <f t="shared" si="24"/>
        <v>3.8037407808940666</v>
      </c>
      <c r="Q46">
        <f t="shared" si="24"/>
        <v>2.0005192758914894</v>
      </c>
      <c r="R46">
        <f t="shared" si="24"/>
        <v>0.16204456512602949</v>
      </c>
      <c r="S46">
        <f t="shared" si="24"/>
        <v>0.38748480993362511</v>
      </c>
      <c r="T46">
        <f t="shared" si="24"/>
        <v>0.90867140876913333</v>
      </c>
      <c r="U46">
        <f t="shared" si="24"/>
        <v>0.54241864321542621</v>
      </c>
      <c r="V46">
        <f t="shared" si="24"/>
        <v>6.3395679681566119E-2</v>
      </c>
      <c r="W46">
        <f t="shared" si="24"/>
        <v>0.21842966411610601</v>
      </c>
      <c r="X46">
        <f t="shared" si="24"/>
        <v>1.2116286457939989</v>
      </c>
      <c r="Y46">
        <f t="shared" si="24"/>
        <v>7.1107318442142076E-3</v>
      </c>
      <c r="Z46">
        <f t="shared" si="24"/>
        <v>1.4121312535703829E-2</v>
      </c>
      <c r="AA46">
        <f t="shared" si="24"/>
        <v>0.13390209120734645</v>
      </c>
      <c r="AB46">
        <f t="shared" si="24"/>
        <v>0.33109971094353441</v>
      </c>
      <c r="AC46">
        <f t="shared" si="24"/>
        <v>1.6271557784935682</v>
      </c>
      <c r="AD46">
        <f t="shared" si="24"/>
        <v>0.11978077867164261</v>
      </c>
      <c r="AE46">
        <f t="shared" si="24"/>
        <v>2.1131893227179215E-2</v>
      </c>
      <c r="AF46">
        <f t="shared" si="24"/>
        <v>0.38748480993362511</v>
      </c>
      <c r="AG46">
        <f t="shared" si="24"/>
        <v>0.40150597131659016</v>
      </c>
      <c r="AH46">
        <f t="shared" si="24"/>
        <v>2.8242625071407658E-2</v>
      </c>
      <c r="AI46">
        <f t="shared" si="24"/>
        <v>5.6385098990076495E-2</v>
      </c>
      <c r="AJ46">
        <f t="shared" si="24"/>
        <v>0.26069345057049292</v>
      </c>
      <c r="AK46">
        <f t="shared" si="24"/>
        <v>5.6385098990076495E-2</v>
      </c>
      <c r="AL46">
        <f t="shared" si="24"/>
        <v>1.4121312535703829E-2</v>
      </c>
      <c r="AM46">
        <f t="shared" si="24"/>
        <v>53.879317148641292</v>
      </c>
      <c r="AN46">
        <f t="shared" si="21"/>
        <v>70.3</v>
      </c>
    </row>
    <row r="47" spans="1:42" x14ac:dyDescent="0.25">
      <c r="A47">
        <v>350130023</v>
      </c>
      <c r="B47">
        <v>32.317500000000003</v>
      </c>
      <c r="C47">
        <v>-106.76777800000001</v>
      </c>
      <c r="D47" t="s">
        <v>50</v>
      </c>
      <c r="E47" t="s">
        <v>51</v>
      </c>
      <c r="G47">
        <f t="shared" ref="G47:AM47" si="25">G28*$AP28</f>
        <v>0.66320436537272931</v>
      </c>
      <c r="H47">
        <f t="shared" si="25"/>
        <v>0.60526029904546352</v>
      </c>
      <c r="I47">
        <f t="shared" si="25"/>
        <v>0.96573443878781851</v>
      </c>
      <c r="J47">
        <f t="shared" si="25"/>
        <v>9.6573443878774021E-2</v>
      </c>
      <c r="K47">
        <f t="shared" si="25"/>
        <v>0.11588813265453167</v>
      </c>
      <c r="L47">
        <f t="shared" si="25"/>
        <v>6.5049469970048139E-3</v>
      </c>
      <c r="M47">
        <f t="shared" si="25"/>
        <v>6.5049469970048139E-3</v>
      </c>
      <c r="N47">
        <f t="shared" si="25"/>
        <v>6.5049469970048139E-3</v>
      </c>
      <c r="O47">
        <f t="shared" si="25"/>
        <v>4.0110503944679659</v>
      </c>
      <c r="P47">
        <f t="shared" si="25"/>
        <v>1.1847009623181504</v>
      </c>
      <c r="Q47">
        <f t="shared" si="25"/>
        <v>0.77258755103024912</v>
      </c>
      <c r="R47">
        <f t="shared" si="25"/>
        <v>0.28972033163633631</v>
      </c>
      <c r="S47">
        <f t="shared" si="25"/>
        <v>0.9077903724605455</v>
      </c>
      <c r="T47">
        <f t="shared" si="25"/>
        <v>0.39279872251213649</v>
      </c>
      <c r="U47">
        <f t="shared" si="25"/>
        <v>0.48937216639092473</v>
      </c>
      <c r="V47">
        <f t="shared" si="25"/>
        <v>0.12879795054092003</v>
      </c>
      <c r="W47">
        <f t="shared" si="25"/>
        <v>0.25759590108184005</v>
      </c>
      <c r="X47">
        <f t="shared" si="25"/>
        <v>0.70823861381361397</v>
      </c>
      <c r="Y47">
        <f t="shared" si="25"/>
        <v>6.5049469970048139E-3</v>
      </c>
      <c r="Z47">
        <f t="shared" si="25"/>
        <v>1.290981788637412E-2</v>
      </c>
      <c r="AA47">
        <f t="shared" si="25"/>
        <v>6.4449013324277757E-2</v>
      </c>
      <c r="AB47">
        <f t="shared" si="25"/>
        <v>0.22537139441970827</v>
      </c>
      <c r="AC47">
        <f t="shared" si="25"/>
        <v>0.89498063068180689</v>
      </c>
      <c r="AD47">
        <f t="shared" si="25"/>
        <v>0.18674201686819297</v>
      </c>
      <c r="AE47">
        <f t="shared" si="25"/>
        <v>7.0853884213647064E-2</v>
      </c>
      <c r="AF47">
        <f t="shared" si="25"/>
        <v>0.12879795054092003</v>
      </c>
      <c r="AG47">
        <f t="shared" si="25"/>
        <v>0.28972033163633631</v>
      </c>
      <c r="AH47">
        <f t="shared" si="25"/>
        <v>4.5134324548520115E-2</v>
      </c>
      <c r="AI47">
        <f t="shared" si="25"/>
        <v>0.16742732809243532</v>
      </c>
      <c r="AJ47">
        <f t="shared" si="25"/>
        <v>4.5134324548520115E-2</v>
      </c>
      <c r="AK47">
        <f t="shared" si="25"/>
        <v>6.5049469970048139E-3</v>
      </c>
      <c r="AL47">
        <f t="shared" si="25"/>
        <v>2.5819635772762462E-2</v>
      </c>
      <c r="AM47">
        <f t="shared" si="25"/>
        <v>50.520820966489481</v>
      </c>
      <c r="AN47">
        <f t="shared" si="21"/>
        <v>64.300000000000011</v>
      </c>
    </row>
    <row r="48" spans="1:42" x14ac:dyDescent="0.25">
      <c r="A48">
        <v>350131012</v>
      </c>
      <c r="B48">
        <v>32.281388999999997</v>
      </c>
      <c r="C48">
        <v>-106.767222</v>
      </c>
      <c r="D48" t="s">
        <v>50</v>
      </c>
      <c r="E48" t="s">
        <v>51</v>
      </c>
      <c r="G48" t="s">
        <v>62</v>
      </c>
      <c r="H48" t="s">
        <v>62</v>
      </c>
      <c r="I48" t="s">
        <v>62</v>
      </c>
      <c r="J48" t="s">
        <v>62</v>
      </c>
      <c r="K48" t="s">
        <v>62</v>
      </c>
      <c r="L48" t="s">
        <v>62</v>
      </c>
      <c r="M48" t="s">
        <v>62</v>
      </c>
      <c r="N48" t="s">
        <v>62</v>
      </c>
      <c r="O48" t="s">
        <v>62</v>
      </c>
      <c r="P48" t="s">
        <v>62</v>
      </c>
      <c r="Q48" t="s">
        <v>62</v>
      </c>
      <c r="R48" t="s">
        <v>62</v>
      </c>
      <c r="S48" t="s">
        <v>62</v>
      </c>
      <c r="T48" t="s">
        <v>62</v>
      </c>
      <c r="U48" t="s">
        <v>62</v>
      </c>
      <c r="V48" t="s">
        <v>62</v>
      </c>
      <c r="W48" t="s">
        <v>62</v>
      </c>
      <c r="X48" t="s">
        <v>62</v>
      </c>
      <c r="Y48" t="s">
        <v>62</v>
      </c>
      <c r="Z48" t="s">
        <v>62</v>
      </c>
      <c r="AA48" t="s">
        <v>62</v>
      </c>
      <c r="AB48" t="s">
        <v>62</v>
      </c>
      <c r="AC48" t="s">
        <v>62</v>
      </c>
      <c r="AD48" t="s">
        <v>62</v>
      </c>
      <c r="AE48" t="s">
        <v>62</v>
      </c>
      <c r="AF48" t="s">
        <v>62</v>
      </c>
      <c r="AG48" t="s">
        <v>62</v>
      </c>
      <c r="AH48" t="s">
        <v>62</v>
      </c>
      <c r="AI48" t="s">
        <v>62</v>
      </c>
      <c r="AJ48" t="s">
        <v>62</v>
      </c>
      <c r="AK48" t="s">
        <v>62</v>
      </c>
      <c r="AL48" t="s">
        <v>62</v>
      </c>
      <c r="AM48" t="s">
        <v>62</v>
      </c>
      <c r="AN48" t="s">
        <v>62</v>
      </c>
    </row>
    <row r="49" spans="1:40" x14ac:dyDescent="0.25">
      <c r="A49">
        <v>350151005</v>
      </c>
      <c r="B49">
        <v>32.380000000000003</v>
      </c>
      <c r="C49">
        <v>-104.26222199999999</v>
      </c>
      <c r="D49" t="s">
        <v>50</v>
      </c>
      <c r="E49" t="s">
        <v>52</v>
      </c>
      <c r="G49">
        <f t="shared" ref="G49:AM49" si="26">G30*$AP30</f>
        <v>0.27896176610811613</v>
      </c>
      <c r="H49">
        <f t="shared" si="26"/>
        <v>0.59379004500157639</v>
      </c>
      <c r="I49">
        <f t="shared" si="26"/>
        <v>0.55087285021571009</v>
      </c>
      <c r="J49">
        <f t="shared" si="26"/>
        <v>2.156078119004572E-2</v>
      </c>
      <c r="K49">
        <f t="shared" si="26"/>
        <v>5.0172244380613538E-2</v>
      </c>
      <c r="L49">
        <f t="shared" si="26"/>
        <v>1.4305731595283911E-2</v>
      </c>
      <c r="M49">
        <f t="shared" si="26"/>
        <v>1.4305731595283911E-2</v>
      </c>
      <c r="N49">
        <f t="shared" si="26"/>
        <v>0.1788216449410997</v>
      </c>
      <c r="O49">
        <f t="shared" si="26"/>
        <v>0.70108303196622745</v>
      </c>
      <c r="P49">
        <f t="shared" si="26"/>
        <v>0.65816583718036126</v>
      </c>
      <c r="Q49">
        <f t="shared" si="26"/>
        <v>0.40781553426282746</v>
      </c>
      <c r="R49">
        <f t="shared" si="26"/>
        <v>7.8681523774083287E-2</v>
      </c>
      <c r="S49">
        <f t="shared" si="26"/>
        <v>0.18607669453586151</v>
      </c>
      <c r="T49">
        <f t="shared" si="26"/>
        <v>0.31472609509634769</v>
      </c>
      <c r="U49">
        <f t="shared" si="26"/>
        <v>0.10729298696466563</v>
      </c>
      <c r="V49">
        <f t="shared" si="26"/>
        <v>3.5764328988217034E-2</v>
      </c>
      <c r="W49">
        <f t="shared" si="26"/>
        <v>2.1029425445073739</v>
      </c>
      <c r="X49">
        <f t="shared" si="26"/>
        <v>2.49635016337779</v>
      </c>
      <c r="Y49">
        <f t="shared" si="26"/>
        <v>7.2550495947472883E-3</v>
      </c>
      <c r="Z49">
        <f t="shared" si="26"/>
        <v>3.5764328988217034E-2</v>
      </c>
      <c r="AA49">
        <f t="shared" si="26"/>
        <v>0.20753529192879464</v>
      </c>
      <c r="AB49">
        <f t="shared" si="26"/>
        <v>0.15736304754816657</v>
      </c>
      <c r="AC49">
        <f t="shared" si="26"/>
        <v>1.5880383908741058</v>
      </c>
      <c r="AD49">
        <f t="shared" si="26"/>
        <v>5.722292638115016E-2</v>
      </c>
      <c r="AE49">
        <f t="shared" si="26"/>
        <v>3.5764328988217034E-2</v>
      </c>
      <c r="AF49">
        <f t="shared" si="26"/>
        <v>6.4477975975911969E-2</v>
      </c>
      <c r="AG49">
        <f t="shared" si="26"/>
        <v>1.4305731595283911E-2</v>
      </c>
      <c r="AH49">
        <f t="shared" si="26"/>
        <v>2.156078119004572E-2</v>
      </c>
      <c r="AI49">
        <f t="shared" si="26"/>
        <v>3.5764328988217034E-2</v>
      </c>
      <c r="AJ49">
        <f t="shared" si="26"/>
        <v>7.2550495947472883E-3</v>
      </c>
      <c r="AK49">
        <f t="shared" si="26"/>
        <v>7.2550495947472883E-3</v>
      </c>
      <c r="AL49">
        <f t="shared" si="26"/>
        <v>7.2550495947472883E-3</v>
      </c>
      <c r="AM49">
        <f t="shared" si="26"/>
        <v>59.261493133481402</v>
      </c>
      <c r="AN49">
        <f t="shared" si="21"/>
        <v>70.299999999999983</v>
      </c>
    </row>
    <row r="50" spans="1:40" x14ac:dyDescent="0.25">
      <c r="A50">
        <v>350171003</v>
      </c>
      <c r="B50">
        <v>32.691943999999999</v>
      </c>
      <c r="C50">
        <v>-108.124444</v>
      </c>
      <c r="D50" t="s">
        <v>50</v>
      </c>
      <c r="E50" t="s">
        <v>53</v>
      </c>
      <c r="G50">
        <f t="shared" ref="G50:AM50" si="27">G31*$AP31</f>
        <v>0.58931464691889857</v>
      </c>
      <c r="H50">
        <f t="shared" si="27"/>
        <v>0.31777768724282185</v>
      </c>
      <c r="I50">
        <f t="shared" si="27"/>
        <v>0.60245353206451735</v>
      </c>
      <c r="J50">
        <f t="shared" si="27"/>
        <v>0.1787499490740882</v>
      </c>
      <c r="K50">
        <f t="shared" si="27"/>
        <v>0.11264811605467306</v>
      </c>
      <c r="L50">
        <f t="shared" si="27"/>
        <v>6.7222203070657887E-3</v>
      </c>
      <c r="M50">
        <f t="shared" si="27"/>
        <v>2.64814739368982E-2</v>
      </c>
      <c r="N50">
        <f t="shared" si="27"/>
        <v>1.9861105452670034E-2</v>
      </c>
      <c r="O50">
        <f t="shared" si="27"/>
        <v>1.3374162856363849</v>
      </c>
      <c r="P50">
        <f t="shared" si="27"/>
        <v>0.46342579389578364</v>
      </c>
      <c r="Q50">
        <f t="shared" si="27"/>
        <v>0.34425916117972005</v>
      </c>
      <c r="R50">
        <f t="shared" si="27"/>
        <v>0.7945460699298994</v>
      </c>
      <c r="S50">
        <f t="shared" si="27"/>
        <v>0.52962947873803634</v>
      </c>
      <c r="T50">
        <f t="shared" si="27"/>
        <v>0.19209253786536767</v>
      </c>
      <c r="U50">
        <f t="shared" si="27"/>
        <v>0.3574998981481764</v>
      </c>
      <c r="V50">
        <f t="shared" si="27"/>
        <v>0.31777768724282185</v>
      </c>
      <c r="W50">
        <f t="shared" si="27"/>
        <v>0.2780554763374673</v>
      </c>
      <c r="X50">
        <f t="shared" si="27"/>
        <v>0.65551833176116581</v>
      </c>
      <c r="Y50">
        <f t="shared" si="27"/>
        <v>6.7222203070657887E-3</v>
      </c>
      <c r="Z50">
        <f t="shared" si="27"/>
        <v>2.64814739368982E-2</v>
      </c>
      <c r="AA50">
        <f t="shared" si="27"/>
        <v>8.6064790294937243E-2</v>
      </c>
      <c r="AB50">
        <f t="shared" si="27"/>
        <v>8.6064790294937243E-2</v>
      </c>
      <c r="AC50">
        <f t="shared" si="27"/>
        <v>0.41708321450620095</v>
      </c>
      <c r="AD50">
        <f t="shared" si="27"/>
        <v>0.27143510785323915</v>
      </c>
      <c r="AE50">
        <f t="shared" si="27"/>
        <v>1.9861105452670034E-2</v>
      </c>
      <c r="AF50">
        <f t="shared" si="27"/>
        <v>5.3064799696634024E-2</v>
      </c>
      <c r="AG50">
        <f t="shared" si="27"/>
        <v>0.17212958058986003</v>
      </c>
      <c r="AH50">
        <f t="shared" si="27"/>
        <v>8.6064790294937243E-2</v>
      </c>
      <c r="AI50">
        <f t="shared" si="27"/>
        <v>3.3101842421126369E-2</v>
      </c>
      <c r="AJ50">
        <f t="shared" si="27"/>
        <v>1.3342588791279484E-2</v>
      </c>
      <c r="AK50">
        <f t="shared" si="27"/>
        <v>6.7222203070657887E-3</v>
      </c>
      <c r="AL50">
        <f t="shared" si="27"/>
        <v>7.2925905149318529E-2</v>
      </c>
      <c r="AM50">
        <f t="shared" si="27"/>
        <v>56.524706118317368</v>
      </c>
      <c r="AN50">
        <f t="shared" si="21"/>
        <v>65</v>
      </c>
    </row>
    <row r="51" spans="1:40" x14ac:dyDescent="0.25">
      <c r="A51">
        <v>350290003</v>
      </c>
      <c r="B51">
        <v>32.255800000000001</v>
      </c>
      <c r="C51">
        <v>-107.7227</v>
      </c>
      <c r="D51" t="s">
        <v>50</v>
      </c>
      <c r="E51" t="s">
        <v>54</v>
      </c>
      <c r="G51">
        <f t="shared" ref="G51:AM51" si="28">G32*$AP32</f>
        <v>0.4344429030773338</v>
      </c>
      <c r="H51">
        <f t="shared" si="28"/>
        <v>0.4727671545039896</v>
      </c>
      <c r="I51">
        <f t="shared" si="28"/>
        <v>0.51099001902211305</v>
      </c>
      <c r="J51">
        <f t="shared" si="28"/>
        <v>0.11497275427997454</v>
      </c>
      <c r="K51">
        <f t="shared" si="28"/>
        <v>9.5810628566643047E-2</v>
      </c>
      <c r="L51">
        <f t="shared" si="28"/>
        <v>6.387375237779565E-3</v>
      </c>
      <c r="M51">
        <f t="shared" si="28"/>
        <v>6.387375237779565E-3</v>
      </c>
      <c r="N51">
        <f t="shared" si="28"/>
        <v>0.86229565709981626</v>
      </c>
      <c r="O51">
        <f t="shared" si="28"/>
        <v>2.0376740877592194</v>
      </c>
      <c r="P51">
        <f t="shared" si="28"/>
        <v>1.1177906666108763</v>
      </c>
      <c r="Q51">
        <f t="shared" si="28"/>
        <v>0.63883891068617904</v>
      </c>
      <c r="R51">
        <f t="shared" si="28"/>
        <v>0.45999240402843766</v>
      </c>
      <c r="S51">
        <f t="shared" si="28"/>
        <v>0.42805552783955425</v>
      </c>
      <c r="T51">
        <f t="shared" si="28"/>
        <v>0.39601726474213855</v>
      </c>
      <c r="U51">
        <f t="shared" si="28"/>
        <v>0.30030802308402776</v>
      </c>
      <c r="V51">
        <f t="shared" si="28"/>
        <v>0.19172264404183281</v>
      </c>
      <c r="W51">
        <f t="shared" si="28"/>
        <v>0.33853088760215128</v>
      </c>
      <c r="X51">
        <f t="shared" si="28"/>
        <v>1.0539169142331095</v>
      </c>
      <c r="Y51">
        <f t="shared" si="28"/>
        <v>6.387375237779565E-3</v>
      </c>
      <c r="Z51">
        <f t="shared" si="28"/>
        <v>1.916212571333149E-2</v>
      </c>
      <c r="AA51">
        <f t="shared" si="28"/>
        <v>0.1214615164262864</v>
      </c>
      <c r="AB51">
        <f t="shared" si="28"/>
        <v>0.19800863237107286</v>
      </c>
      <c r="AC51">
        <f t="shared" si="28"/>
        <v>0.70910003830171819</v>
      </c>
      <c r="AD51">
        <f t="shared" si="28"/>
        <v>0.24910763427328056</v>
      </c>
      <c r="AE51">
        <f t="shared" si="28"/>
        <v>2.5549500951103851E-2</v>
      </c>
      <c r="AF51">
        <f t="shared" si="28"/>
        <v>0.1214615164262864</v>
      </c>
      <c r="AG51">
        <f t="shared" si="28"/>
        <v>0.21078338284662479</v>
      </c>
      <c r="AH51">
        <f t="shared" si="28"/>
        <v>6.3975139286299124E-2</v>
      </c>
      <c r="AI51">
        <f t="shared" si="28"/>
        <v>4.4813013572967637E-2</v>
      </c>
      <c r="AJ51">
        <f t="shared" si="28"/>
        <v>3.1936876188883419E-2</v>
      </c>
      <c r="AK51">
        <f t="shared" si="28"/>
        <v>6.387375237779565E-3</v>
      </c>
      <c r="AL51">
        <f t="shared" si="28"/>
        <v>3.1936876188883419E-2</v>
      </c>
      <c r="AM51">
        <f t="shared" si="28"/>
        <v>51.693027799324739</v>
      </c>
      <c r="AN51">
        <f t="shared" si="21"/>
        <v>62.999999999999993</v>
      </c>
    </row>
    <row r="52" spans="1:40" x14ac:dyDescent="0.25">
      <c r="A52">
        <v>481410029</v>
      </c>
      <c r="B52">
        <v>31.785768999999998</v>
      </c>
      <c r="C52">
        <v>-106.323578</v>
      </c>
      <c r="D52" t="s">
        <v>55</v>
      </c>
      <c r="E52" t="s">
        <v>56</v>
      </c>
      <c r="G52">
        <f t="shared" ref="G52:AM52" si="29">G33*$AP33</f>
        <v>0.50028751272282823</v>
      </c>
      <c r="H52">
        <f t="shared" si="29"/>
        <v>0.87695224213798562</v>
      </c>
      <c r="I52">
        <f t="shared" si="29"/>
        <v>1.7798882544133965</v>
      </c>
      <c r="J52">
        <f t="shared" si="29"/>
        <v>0.14950661586763395</v>
      </c>
      <c r="K52">
        <f t="shared" si="29"/>
        <v>3.9075592783589214E-2</v>
      </c>
      <c r="L52">
        <f t="shared" si="29"/>
        <v>6.5958801118130191E-3</v>
      </c>
      <c r="M52">
        <f t="shared" si="29"/>
        <v>6.5958801118130191E-3</v>
      </c>
      <c r="N52">
        <f t="shared" si="29"/>
        <v>1.9487827603060035E-2</v>
      </c>
      <c r="O52">
        <f t="shared" si="29"/>
        <v>0.70815767382220152</v>
      </c>
      <c r="P52">
        <f t="shared" si="29"/>
        <v>4.5861354292549574</v>
      </c>
      <c r="Q52">
        <f t="shared" si="29"/>
        <v>2.8192390599102701</v>
      </c>
      <c r="R52">
        <f t="shared" si="29"/>
        <v>0.31840112176087298</v>
      </c>
      <c r="S52">
        <f t="shared" si="29"/>
        <v>0.25344169641732062</v>
      </c>
      <c r="T52">
        <f t="shared" si="29"/>
        <v>1.1498817661583662</v>
      </c>
      <c r="U52">
        <f t="shared" si="29"/>
        <v>1.1887574837870527</v>
      </c>
      <c r="V52">
        <f t="shared" si="29"/>
        <v>0.13641479322146285</v>
      </c>
      <c r="W52">
        <f t="shared" si="29"/>
        <v>0.19487827603065716</v>
      </c>
      <c r="X52">
        <f t="shared" si="29"/>
        <v>0.51967540274843327</v>
      </c>
      <c r="Y52">
        <f t="shared" si="29"/>
        <v>6.5958801118130191E-3</v>
      </c>
      <c r="Z52">
        <f t="shared" si="29"/>
        <v>1.3091822646156897E-2</v>
      </c>
      <c r="AA52">
        <f t="shared" si="29"/>
        <v>5.2067477852291169E-2</v>
      </c>
      <c r="AB52">
        <f t="shared" si="29"/>
        <v>0.26633364390856762</v>
      </c>
      <c r="AC52">
        <f t="shared" si="29"/>
        <v>0.76652121905394088</v>
      </c>
      <c r="AD52">
        <f t="shared" si="29"/>
        <v>0.13641479322146285</v>
      </c>
      <c r="AE52">
        <f t="shared" si="29"/>
        <v>1.3091822646156897E-2</v>
      </c>
      <c r="AF52">
        <f t="shared" si="29"/>
        <v>0.38326060952697044</v>
      </c>
      <c r="AG52">
        <f t="shared" si="29"/>
        <v>0.9094319548097618</v>
      </c>
      <c r="AH52">
        <f t="shared" si="29"/>
        <v>3.9075592783589214E-2</v>
      </c>
      <c r="AI52">
        <f t="shared" si="29"/>
        <v>4.5571535317933086E-2</v>
      </c>
      <c r="AJ52">
        <f t="shared" si="29"/>
        <v>0.47420380500795511</v>
      </c>
      <c r="AK52">
        <f t="shared" si="29"/>
        <v>5.8463482809194306E-2</v>
      </c>
      <c r="AL52">
        <f t="shared" si="29"/>
        <v>3.2479712671776191E-2</v>
      </c>
      <c r="AM52">
        <f t="shared" si="29"/>
        <v>46.550024138768713</v>
      </c>
      <c r="AN52">
        <f t="shared" si="21"/>
        <v>65</v>
      </c>
    </row>
    <row r="53" spans="1:40" x14ac:dyDescent="0.25">
      <c r="A53">
        <v>481410037</v>
      </c>
      <c r="B53">
        <v>31.768291000000001</v>
      </c>
      <c r="C53">
        <v>-106.50126</v>
      </c>
      <c r="D53" t="s">
        <v>55</v>
      </c>
      <c r="E53" t="s">
        <v>56</v>
      </c>
      <c r="G53">
        <f t="shared" ref="G53:AM53" si="30">G34*$AP34</f>
        <v>0.54700647568378369</v>
      </c>
      <c r="H53">
        <f t="shared" si="30"/>
        <v>0.90914316953441487</v>
      </c>
      <c r="I53">
        <f t="shared" si="30"/>
        <v>1.6621273945658392</v>
      </c>
      <c r="J53">
        <f t="shared" si="30"/>
        <v>8.5332209904587383E-2</v>
      </c>
      <c r="K53">
        <f t="shared" si="30"/>
        <v>3.5513405059937081E-2</v>
      </c>
      <c r="L53">
        <f t="shared" si="30"/>
        <v>1.4305399784713216E-2</v>
      </c>
      <c r="M53">
        <f t="shared" si="30"/>
        <v>7.1026810119817303E-3</v>
      </c>
      <c r="N53">
        <f t="shared" si="30"/>
        <v>5.6821448095896489E-2</v>
      </c>
      <c r="O53">
        <f t="shared" si="30"/>
        <v>0.96596461763031138</v>
      </c>
      <c r="P53">
        <f t="shared" si="30"/>
        <v>3.6081619540897183</v>
      </c>
      <c r="Q53">
        <f t="shared" si="30"/>
        <v>3.1963064931551584</v>
      </c>
      <c r="R53">
        <f t="shared" si="30"/>
        <v>0.18476974407241689</v>
      </c>
      <c r="S53">
        <f t="shared" si="30"/>
        <v>0.32672332655142966</v>
      </c>
      <c r="T53">
        <f t="shared" si="30"/>
        <v>0.90214052628315444</v>
      </c>
      <c r="U53">
        <f t="shared" si="30"/>
        <v>1.1436316806907323</v>
      </c>
      <c r="V53">
        <f t="shared" si="30"/>
        <v>7.1026810119874162E-2</v>
      </c>
      <c r="W53">
        <f t="shared" si="30"/>
        <v>0.26289923520427277</v>
      </c>
      <c r="X53">
        <f t="shared" si="30"/>
        <v>0.81680831637858131</v>
      </c>
      <c r="Y53">
        <f t="shared" si="30"/>
        <v>7.1026810119817303E-3</v>
      </c>
      <c r="Z53">
        <f t="shared" si="30"/>
        <v>1.4305399784713216E-2</v>
      </c>
      <c r="AA53">
        <f t="shared" si="30"/>
        <v>0.13505097698850213</v>
      </c>
      <c r="AB53">
        <f t="shared" si="30"/>
        <v>0.34803136958738912</v>
      </c>
      <c r="AC53">
        <f t="shared" si="30"/>
        <v>1.1791450857506836</v>
      </c>
      <c r="AD53">
        <f t="shared" si="30"/>
        <v>0.12074557720378892</v>
      </c>
      <c r="AE53">
        <f t="shared" si="30"/>
        <v>2.1308043035959404E-2</v>
      </c>
      <c r="AF53">
        <f t="shared" si="30"/>
        <v>0.46887698455191357</v>
      </c>
      <c r="AG53">
        <f t="shared" si="30"/>
        <v>1.2003530910259075</v>
      </c>
      <c r="AH53">
        <f t="shared" si="30"/>
        <v>2.8410724047955353E-2</v>
      </c>
      <c r="AI53">
        <f t="shared" si="30"/>
        <v>4.9818804844650302E-2</v>
      </c>
      <c r="AJ53">
        <f t="shared" si="30"/>
        <v>0.37654213139608</v>
      </c>
      <c r="AK53">
        <f t="shared" si="30"/>
        <v>0.10654021517981124</v>
      </c>
      <c r="AL53">
        <f t="shared" si="30"/>
        <v>1.4305399784713216E-2</v>
      </c>
      <c r="AM53">
        <f t="shared" si="30"/>
        <v>52.133678627989141</v>
      </c>
      <c r="AN53">
        <f t="shared" si="21"/>
        <v>71</v>
      </c>
    </row>
    <row r="54" spans="1:40" x14ac:dyDescent="0.25">
      <c r="A54">
        <v>481410044</v>
      </c>
      <c r="B54">
        <v>31.765685000000001</v>
      </c>
      <c r="C54">
        <v>-106.45522699999999</v>
      </c>
      <c r="D54" t="s">
        <v>55</v>
      </c>
      <c r="E54" t="s">
        <v>56</v>
      </c>
      <c r="G54">
        <f t="shared" ref="G54:AM54" si="31">G35*$AP35</f>
        <v>0.67668934154868576</v>
      </c>
      <c r="H54">
        <f t="shared" si="31"/>
        <v>0.89761645468479156</v>
      </c>
      <c r="I54">
        <f t="shared" si="31"/>
        <v>1.7950327942308804</v>
      </c>
      <c r="J54">
        <f t="shared" si="31"/>
        <v>0.15879136256657422</v>
      </c>
      <c r="K54">
        <f t="shared" si="31"/>
        <v>4.832780599852135E-2</v>
      </c>
      <c r="L54">
        <f t="shared" si="31"/>
        <v>7.0040298548635247E-3</v>
      </c>
      <c r="M54">
        <f t="shared" si="31"/>
        <v>7.0040298548635247E-3</v>
      </c>
      <c r="N54">
        <f t="shared" si="31"/>
        <v>2.0711916856515245E-2</v>
      </c>
      <c r="O54">
        <f t="shared" si="31"/>
        <v>1.0770196765385367</v>
      </c>
      <c r="P54">
        <f t="shared" si="31"/>
        <v>3.8179967314527303</v>
      </c>
      <c r="Q54">
        <f t="shared" si="31"/>
        <v>3.051655807761851</v>
      </c>
      <c r="R54">
        <f t="shared" si="31"/>
        <v>0.33139066970415859</v>
      </c>
      <c r="S54">
        <f t="shared" si="31"/>
        <v>0.35910661641553737</v>
      </c>
      <c r="T54">
        <f t="shared" si="31"/>
        <v>0.94594426068332715</v>
      </c>
      <c r="U54">
        <f t="shared" si="31"/>
        <v>1.2428150689599604</v>
      </c>
      <c r="V54">
        <f t="shared" si="31"/>
        <v>0.14498341799557829</v>
      </c>
      <c r="W54">
        <f t="shared" si="31"/>
        <v>0.2486430598474845</v>
      </c>
      <c r="X54">
        <f t="shared" si="31"/>
        <v>0.68349325626483248</v>
      </c>
      <c r="Y54">
        <f t="shared" si="31"/>
        <v>7.0040298548635247E-3</v>
      </c>
      <c r="Z54">
        <f t="shared" si="31"/>
        <v>1.3908002140368607E-2</v>
      </c>
      <c r="AA54">
        <f t="shared" si="31"/>
        <v>6.9139780424395045E-2</v>
      </c>
      <c r="AB54">
        <f t="shared" si="31"/>
        <v>0.38672250555754351</v>
      </c>
      <c r="AC54">
        <f t="shared" si="31"/>
        <v>0.98036406454147984</v>
      </c>
      <c r="AD54">
        <f t="shared" si="31"/>
        <v>0.15188739028106915</v>
      </c>
      <c r="AE54">
        <f t="shared" si="31"/>
        <v>2.0711916856515245E-2</v>
      </c>
      <c r="AF54">
        <f t="shared" si="31"/>
        <v>0.54551386812411773</v>
      </c>
      <c r="AG54">
        <f t="shared" si="31"/>
        <v>1.0286918705400012</v>
      </c>
      <c r="AH54">
        <f t="shared" si="31"/>
        <v>4.1523891282374714E-2</v>
      </c>
      <c r="AI54">
        <f t="shared" si="31"/>
        <v>6.2235808138889959E-2</v>
      </c>
      <c r="AJ54">
        <f t="shared" si="31"/>
        <v>0.40043039255919521</v>
      </c>
      <c r="AK54">
        <f t="shared" si="31"/>
        <v>8.9751639711537629E-2</v>
      </c>
      <c r="AL54">
        <f t="shared" si="31"/>
        <v>2.7615889142020327E-2</v>
      </c>
      <c r="AM54">
        <f t="shared" si="31"/>
        <v>49.660272649625938</v>
      </c>
      <c r="AN54">
        <f t="shared" si="21"/>
        <v>69</v>
      </c>
    </row>
    <row r="55" spans="1:40" x14ac:dyDescent="0.25">
      <c r="A55">
        <v>481410055</v>
      </c>
      <c r="B55">
        <v>31.746775</v>
      </c>
      <c r="C55">
        <v>-106.402806</v>
      </c>
      <c r="D55" t="s">
        <v>55</v>
      </c>
      <c r="E55" t="s">
        <v>56</v>
      </c>
      <c r="G55">
        <f t="shared" ref="G55:AM55" si="32">G36*$AP36</f>
        <v>0.61687974654761879</v>
      </c>
      <c r="H55">
        <f t="shared" si="32"/>
        <v>0.85567190650153713</v>
      </c>
      <c r="I55">
        <f t="shared" si="32"/>
        <v>1.7047106974488071</v>
      </c>
      <c r="J55">
        <f t="shared" si="32"/>
        <v>0.15929527505343791</v>
      </c>
      <c r="K55">
        <f t="shared" si="32"/>
        <v>4.6431808879927372E-2</v>
      </c>
      <c r="L55">
        <f t="shared" si="32"/>
        <v>6.7336173050928701E-3</v>
      </c>
      <c r="M55">
        <f t="shared" si="32"/>
        <v>6.7336173050928701E-3</v>
      </c>
      <c r="N55">
        <f t="shared" si="32"/>
        <v>1.9999848413655791E-2</v>
      </c>
      <c r="O55">
        <f t="shared" si="32"/>
        <v>0.93526929315284324</v>
      </c>
      <c r="P55">
        <f t="shared" si="32"/>
        <v>4.0131354120874958</v>
      </c>
      <c r="Q55">
        <f t="shared" si="32"/>
        <v>3.243694007791539</v>
      </c>
      <c r="R55">
        <f t="shared" si="32"/>
        <v>0.33165577771377308</v>
      </c>
      <c r="S55">
        <f t="shared" si="32"/>
        <v>0.32512316391031731</v>
      </c>
      <c r="T55">
        <f t="shared" si="32"/>
        <v>1.0216002971092422</v>
      </c>
      <c r="U55">
        <f t="shared" si="32"/>
        <v>1.2073275326289659</v>
      </c>
      <c r="V55">
        <f t="shared" si="32"/>
        <v>0.14602904394488928</v>
      </c>
      <c r="W55">
        <f t="shared" si="32"/>
        <v>0.23889266170474402</v>
      </c>
      <c r="X55">
        <f t="shared" si="32"/>
        <v>0.65004532431899753</v>
      </c>
      <c r="Y55">
        <f t="shared" si="32"/>
        <v>6.7336173050928701E-3</v>
      </c>
      <c r="Z55">
        <f t="shared" si="32"/>
        <v>1.3266231108548637E-2</v>
      </c>
      <c r="AA55">
        <f t="shared" si="32"/>
        <v>5.9698039988476011E-2</v>
      </c>
      <c r="AB55">
        <f t="shared" si="32"/>
        <v>0.32512316391031731</v>
      </c>
      <c r="AC55">
        <f t="shared" si="32"/>
        <v>0.87567175491519289</v>
      </c>
      <c r="AD55">
        <f t="shared" si="32"/>
        <v>0.15256165774833075</v>
      </c>
      <c r="AE55">
        <f t="shared" si="32"/>
        <v>1.9999848413655791E-2</v>
      </c>
      <c r="AF55">
        <f t="shared" si="32"/>
        <v>0.39135381770224908</v>
      </c>
      <c r="AG55">
        <f t="shared" si="32"/>
        <v>0.98170110203277061</v>
      </c>
      <c r="AH55">
        <f t="shared" si="32"/>
        <v>3.9899195076471605E-2</v>
      </c>
      <c r="AI55">
        <f t="shared" si="32"/>
        <v>5.3165426185020244E-2</v>
      </c>
      <c r="AJ55">
        <f t="shared" si="32"/>
        <v>0.39135381770224908</v>
      </c>
      <c r="AK55">
        <f t="shared" si="32"/>
        <v>6.6431657293583163E-2</v>
      </c>
      <c r="AL55">
        <f t="shared" si="32"/>
        <v>3.3266079522204429E-2</v>
      </c>
      <c r="AM55">
        <f t="shared" si="32"/>
        <v>47.36054555927786</v>
      </c>
      <c r="AN55">
        <f t="shared" si="21"/>
        <v>66.3</v>
      </c>
    </row>
    <row r="56" spans="1:40" x14ac:dyDescent="0.25">
      <c r="A56">
        <v>481410057</v>
      </c>
      <c r="B56">
        <v>31.6675</v>
      </c>
      <c r="C56">
        <v>-106.288</v>
      </c>
      <c r="D56" t="s">
        <v>55</v>
      </c>
      <c r="E56" t="s">
        <v>56</v>
      </c>
      <c r="G56">
        <f t="shared" ref="G56:AM56" si="33">G37*$AP37</f>
        <v>0.5883620395336866</v>
      </c>
      <c r="H56">
        <f t="shared" si="33"/>
        <v>0.85935909127463428</v>
      </c>
      <c r="I56">
        <f t="shared" si="33"/>
        <v>1.5203275101550355</v>
      </c>
      <c r="J56">
        <f t="shared" si="33"/>
        <v>0.23804877752707779</v>
      </c>
      <c r="K56">
        <f t="shared" si="33"/>
        <v>4.6267789321626243E-2</v>
      </c>
      <c r="L56">
        <f t="shared" si="33"/>
        <v>6.7098309189323338E-3</v>
      </c>
      <c r="M56">
        <f t="shared" si="33"/>
        <v>1.3219368377605465E-2</v>
      </c>
      <c r="N56">
        <f t="shared" si="33"/>
        <v>5.2977620240558576E-2</v>
      </c>
      <c r="O56">
        <f t="shared" si="33"/>
        <v>0.872578459652254</v>
      </c>
      <c r="P56">
        <f t="shared" si="33"/>
        <v>3.9659106600124736</v>
      </c>
      <c r="Q56">
        <f t="shared" si="33"/>
        <v>2.9678483475030903</v>
      </c>
      <c r="R56">
        <f t="shared" si="33"/>
        <v>0.56843284023713458</v>
      </c>
      <c r="S56">
        <f t="shared" si="33"/>
        <v>0.30414561941511936</v>
      </c>
      <c r="T56">
        <f t="shared" si="33"/>
        <v>1.0839882069638473</v>
      </c>
      <c r="U56">
        <f t="shared" si="33"/>
        <v>1.1038172595302485</v>
      </c>
      <c r="V56">
        <f t="shared" si="33"/>
        <v>0.23133894660813123</v>
      </c>
      <c r="W56">
        <f t="shared" si="33"/>
        <v>0.21161004077185261</v>
      </c>
      <c r="X56">
        <f t="shared" si="33"/>
        <v>0.60158140791129211</v>
      </c>
      <c r="Y56">
        <f t="shared" si="33"/>
        <v>6.7098309189323338E-3</v>
      </c>
      <c r="Z56">
        <f t="shared" si="33"/>
        <v>1.3219368377605465E-2</v>
      </c>
      <c r="AA56">
        <f t="shared" si="33"/>
        <v>5.9487157699231706E-2</v>
      </c>
      <c r="AB56">
        <f t="shared" si="33"/>
        <v>0.21161004077185261</v>
      </c>
      <c r="AC56">
        <f t="shared" si="33"/>
        <v>0.78004288100898722</v>
      </c>
      <c r="AD56">
        <f t="shared" si="33"/>
        <v>0.21161004077185261</v>
      </c>
      <c r="AE56">
        <f t="shared" si="33"/>
        <v>1.3219368377605465E-2</v>
      </c>
      <c r="AF56">
        <f t="shared" si="33"/>
        <v>0.24465846171587341</v>
      </c>
      <c r="AG56">
        <f t="shared" si="33"/>
        <v>0.82631067033062766</v>
      </c>
      <c r="AH56">
        <f t="shared" si="33"/>
        <v>5.2977620240558576E-2</v>
      </c>
      <c r="AI56">
        <f t="shared" si="33"/>
        <v>4.6267789321626243E-2</v>
      </c>
      <c r="AJ56">
        <f t="shared" si="33"/>
        <v>0.33719404035912587</v>
      </c>
      <c r="AK56">
        <f t="shared" si="33"/>
        <v>3.9758251862953113E-2</v>
      </c>
      <c r="AL56">
        <f t="shared" si="33"/>
        <v>5.2977620240558576E-2</v>
      </c>
      <c r="AM56">
        <f t="shared" si="33"/>
        <v>47.867433042048013</v>
      </c>
      <c r="AN56">
        <f t="shared" si="21"/>
        <v>66</v>
      </c>
    </row>
    <row r="57" spans="1:40" x14ac:dyDescent="0.25">
      <c r="A57">
        <v>481410058</v>
      </c>
      <c r="B57">
        <v>31.893913000000001</v>
      </c>
      <c r="C57">
        <v>-106.425827</v>
      </c>
      <c r="D57" t="s">
        <v>55</v>
      </c>
      <c r="E57" t="s">
        <v>56</v>
      </c>
      <c r="G57">
        <f t="shared" ref="G57:AM57" si="34">G38*$AP38</f>
        <v>0.61075082144790804</v>
      </c>
      <c r="H57">
        <f t="shared" si="34"/>
        <v>0.88139490882831162</v>
      </c>
      <c r="I57">
        <f t="shared" si="34"/>
        <v>1.6863208521393749</v>
      </c>
      <c r="J57">
        <f t="shared" si="34"/>
        <v>0.18046275500991837</v>
      </c>
      <c r="K57">
        <f t="shared" si="34"/>
        <v>9.028142263946165E-2</v>
      </c>
      <c r="L57">
        <f t="shared" si="34"/>
        <v>7.0063188301045382E-3</v>
      </c>
      <c r="M57">
        <f t="shared" si="34"/>
        <v>7.0063188301045382E-3</v>
      </c>
      <c r="N57">
        <f t="shared" si="34"/>
        <v>1.3912547391218352E-2</v>
      </c>
      <c r="O57">
        <f t="shared" si="34"/>
        <v>1.0617575735692393</v>
      </c>
      <c r="P57">
        <f t="shared" si="34"/>
        <v>5.2117003069146115</v>
      </c>
      <c r="Q57">
        <f t="shared" si="34"/>
        <v>2.4774343383282247</v>
      </c>
      <c r="R57">
        <f t="shared" si="34"/>
        <v>0.38174428597219734</v>
      </c>
      <c r="S57">
        <f t="shared" si="34"/>
        <v>0.35391919118974641</v>
      </c>
      <c r="T57">
        <f t="shared" si="34"/>
        <v>1.2630391045315039</v>
      </c>
      <c r="U57">
        <f t="shared" si="34"/>
        <v>1.0548513450081254</v>
      </c>
      <c r="V57">
        <f t="shared" si="34"/>
        <v>0.1596439790575862</v>
      </c>
      <c r="W57">
        <f t="shared" si="34"/>
        <v>0.2429190828669433</v>
      </c>
      <c r="X57">
        <f t="shared" si="34"/>
        <v>0.68011337786603265</v>
      </c>
      <c r="Y57">
        <f t="shared" si="34"/>
        <v>7.0063188301045382E-3</v>
      </c>
      <c r="Z57">
        <f t="shared" si="34"/>
        <v>2.0818775952332166E-2</v>
      </c>
      <c r="AA57">
        <f t="shared" si="34"/>
        <v>6.9462646687115256E-2</v>
      </c>
      <c r="AB57">
        <f t="shared" si="34"/>
        <v>0.43719429499908929</v>
      </c>
      <c r="AC57">
        <f t="shared" si="34"/>
        <v>0.96467001263765451</v>
      </c>
      <c r="AD57">
        <f t="shared" si="34"/>
        <v>0.20818775952337856</v>
      </c>
      <c r="AE57">
        <f t="shared" si="34"/>
        <v>2.0818775952332166E-2</v>
      </c>
      <c r="AF57">
        <f t="shared" si="34"/>
        <v>0.56911326954322949</v>
      </c>
      <c r="AG57">
        <f t="shared" si="34"/>
        <v>0.74256970572305758</v>
      </c>
      <c r="AH57">
        <f t="shared" si="34"/>
        <v>4.8643870734783094E-2</v>
      </c>
      <c r="AI57">
        <f t="shared" si="34"/>
        <v>5.555009929589691E-2</v>
      </c>
      <c r="AJ57">
        <f t="shared" si="34"/>
        <v>0.41637551904675713</v>
      </c>
      <c r="AK57">
        <f t="shared" si="34"/>
        <v>6.2456327857010725E-2</v>
      </c>
      <c r="AL57">
        <f t="shared" si="34"/>
        <v>2.7825094782450929E-2</v>
      </c>
      <c r="AM57">
        <f t="shared" si="34"/>
        <v>49.28504899801419</v>
      </c>
      <c r="AN57">
        <f t="shared" si="21"/>
        <v>69.299999999999983</v>
      </c>
    </row>
    <row r="59" spans="1:40" s="17" customFormat="1" x14ac:dyDescent="0.25"/>
    <row r="61" spans="1:40" ht="21" x14ac:dyDescent="0.35">
      <c r="A61" s="14" t="s">
        <v>162</v>
      </c>
    </row>
    <row r="62" spans="1:40" x14ac:dyDescent="0.25">
      <c r="A62" s="1" t="s">
        <v>57</v>
      </c>
      <c r="B62" s="1" t="s">
        <v>58</v>
      </c>
      <c r="C62" s="1" t="s">
        <v>59</v>
      </c>
      <c r="D62" s="1" t="s">
        <v>60</v>
      </c>
      <c r="E62" s="1" t="s">
        <v>61</v>
      </c>
      <c r="F62" s="1" t="s">
        <v>49</v>
      </c>
      <c r="G62" s="1" t="s">
        <v>17</v>
      </c>
      <c r="H62" s="1" t="s">
        <v>18</v>
      </c>
      <c r="I62" s="1" t="s">
        <v>19</v>
      </c>
      <c r="J62" s="1" t="s">
        <v>20</v>
      </c>
      <c r="K62" s="1" t="s">
        <v>21</v>
      </c>
      <c r="L62" s="1" t="s">
        <v>22</v>
      </c>
      <c r="M62" s="1" t="s">
        <v>23</v>
      </c>
      <c r="N62" s="1" t="s">
        <v>24</v>
      </c>
      <c r="O62" s="1" t="s">
        <v>25</v>
      </c>
      <c r="P62" s="1" t="s">
        <v>26</v>
      </c>
      <c r="Q62" s="1" t="s">
        <v>27</v>
      </c>
      <c r="R62" s="1" t="s">
        <v>28</v>
      </c>
      <c r="S62" s="1" t="s">
        <v>29</v>
      </c>
      <c r="T62" s="1" t="s">
        <v>30</v>
      </c>
      <c r="U62" s="1" t="s">
        <v>31</v>
      </c>
      <c r="V62" s="1" t="s">
        <v>32</v>
      </c>
      <c r="W62" s="1" t="s">
        <v>33</v>
      </c>
      <c r="X62" s="1" t="s">
        <v>34</v>
      </c>
      <c r="Y62" s="1" t="s">
        <v>35</v>
      </c>
      <c r="Z62" s="1" t="s">
        <v>36</v>
      </c>
      <c r="AA62" s="1" t="s">
        <v>37</v>
      </c>
      <c r="AB62" s="1" t="s">
        <v>38</v>
      </c>
      <c r="AC62" s="1" t="s">
        <v>39</v>
      </c>
      <c r="AD62" s="1" t="s">
        <v>40</v>
      </c>
      <c r="AE62" s="1" t="s">
        <v>41</v>
      </c>
      <c r="AF62" s="1" t="s">
        <v>42</v>
      </c>
      <c r="AG62" s="1" t="s">
        <v>43</v>
      </c>
      <c r="AH62" s="1" t="s">
        <v>44</v>
      </c>
      <c r="AI62" s="1" t="s">
        <v>45</v>
      </c>
      <c r="AJ62" s="1" t="s">
        <v>46</v>
      </c>
      <c r="AK62" s="1" t="s">
        <v>47</v>
      </c>
      <c r="AL62" s="1" t="s">
        <v>48</v>
      </c>
      <c r="AM62" s="13" t="s">
        <v>186</v>
      </c>
    </row>
    <row r="63" spans="1:40" x14ac:dyDescent="0.25">
      <c r="A63">
        <v>350130008</v>
      </c>
      <c r="B63">
        <v>31.930555999999999</v>
      </c>
      <c r="C63">
        <v>-106.630556</v>
      </c>
      <c r="D63" t="s">
        <v>50</v>
      </c>
      <c r="E63" t="s">
        <v>51</v>
      </c>
      <c r="F63">
        <v>58.4392</v>
      </c>
      <c r="G63">
        <v>58.0642</v>
      </c>
      <c r="H63">
        <v>57.773200000000003</v>
      </c>
      <c r="I63">
        <v>57.158799999999999</v>
      </c>
      <c r="J63">
        <v>58.381</v>
      </c>
      <c r="K63">
        <v>58.342199999999998</v>
      </c>
      <c r="L63">
        <v>58.426299999999998</v>
      </c>
      <c r="M63">
        <v>58.4328</v>
      </c>
      <c r="N63">
        <v>58.4328</v>
      </c>
      <c r="O63">
        <v>58.018900000000002</v>
      </c>
      <c r="P63">
        <v>56.576799999999999</v>
      </c>
      <c r="Q63">
        <v>57.255800000000001</v>
      </c>
      <c r="R63">
        <v>58.374600000000001</v>
      </c>
      <c r="S63">
        <v>58.1935</v>
      </c>
      <c r="T63">
        <v>57.7408</v>
      </c>
      <c r="U63">
        <v>57.411000000000001</v>
      </c>
      <c r="V63">
        <v>58.393999999999998</v>
      </c>
      <c r="W63">
        <v>58.161200000000001</v>
      </c>
      <c r="X63">
        <v>57.391599999999997</v>
      </c>
      <c r="Y63">
        <v>58.4392</v>
      </c>
      <c r="Z63">
        <v>58.426299999999998</v>
      </c>
      <c r="AA63">
        <v>58.400399999999998</v>
      </c>
      <c r="AB63">
        <v>58.374600000000001</v>
      </c>
      <c r="AC63">
        <v>56.919600000000003</v>
      </c>
      <c r="AD63">
        <v>58.381</v>
      </c>
      <c r="AE63">
        <v>58.419800000000002</v>
      </c>
      <c r="AF63">
        <v>57.811999999999998</v>
      </c>
      <c r="AG63">
        <v>57.061799999999998</v>
      </c>
      <c r="AH63">
        <v>58.426299999999998</v>
      </c>
      <c r="AI63">
        <v>58.381</v>
      </c>
      <c r="AJ63">
        <v>58.232300000000002</v>
      </c>
      <c r="AK63">
        <v>58.400399999999998</v>
      </c>
      <c r="AL63">
        <v>58.4328</v>
      </c>
      <c r="AM63">
        <v>13.696400000000001</v>
      </c>
    </row>
    <row r="64" spans="1:40" x14ac:dyDescent="0.25">
      <c r="A64">
        <v>350130017</v>
      </c>
      <c r="B64">
        <v>31.795832999999998</v>
      </c>
      <c r="C64">
        <v>-106.5575</v>
      </c>
      <c r="D64" t="s">
        <v>50</v>
      </c>
      <c r="E64" t="s">
        <v>51</v>
      </c>
      <c r="F64">
        <v>61.346600000000002</v>
      </c>
      <c r="G64">
        <v>60.953299999999999</v>
      </c>
      <c r="H64">
        <v>60.713299999999997</v>
      </c>
      <c r="I64">
        <v>59.98</v>
      </c>
      <c r="J64">
        <v>61.273299999999999</v>
      </c>
      <c r="K64">
        <v>61.313299999999998</v>
      </c>
      <c r="L64">
        <v>61.34</v>
      </c>
      <c r="M64">
        <v>61.346600000000002</v>
      </c>
      <c r="N64">
        <v>61.3</v>
      </c>
      <c r="O64">
        <v>60.92</v>
      </c>
      <c r="P64">
        <v>59.833300000000001</v>
      </c>
      <c r="Q64">
        <v>59.72</v>
      </c>
      <c r="R64">
        <v>61.273299999999999</v>
      </c>
      <c r="S64">
        <v>61.093299999999999</v>
      </c>
      <c r="T64">
        <v>60.713299999999997</v>
      </c>
      <c r="U64">
        <v>60.166600000000003</v>
      </c>
      <c r="V64">
        <v>61.293300000000002</v>
      </c>
      <c r="W64">
        <v>61.066600000000001</v>
      </c>
      <c r="X64">
        <v>60.4666</v>
      </c>
      <c r="Y64">
        <v>61.346600000000002</v>
      </c>
      <c r="Z64">
        <v>61.326599999999999</v>
      </c>
      <c r="AA64">
        <v>61.26</v>
      </c>
      <c r="AB64">
        <v>61.293300000000002</v>
      </c>
      <c r="AC64">
        <v>59.526600000000002</v>
      </c>
      <c r="AD64">
        <v>61.26</v>
      </c>
      <c r="AE64">
        <v>61.326599999999999</v>
      </c>
      <c r="AF64">
        <v>60.646599999999999</v>
      </c>
      <c r="AG64">
        <v>59.44</v>
      </c>
      <c r="AH64">
        <v>61.326599999999999</v>
      </c>
      <c r="AI64">
        <v>61.3</v>
      </c>
      <c r="AJ64">
        <v>61.12</v>
      </c>
      <c r="AK64">
        <v>61.266599999999997</v>
      </c>
      <c r="AL64">
        <v>61.34</v>
      </c>
      <c r="AM64">
        <v>14.833299999999999</v>
      </c>
    </row>
    <row r="65" spans="1:42" x14ac:dyDescent="0.25">
      <c r="A65">
        <v>350130019</v>
      </c>
      <c r="B65">
        <v>32.424722000000003</v>
      </c>
      <c r="C65">
        <v>-106.674167</v>
      </c>
      <c r="D65" t="s">
        <v>50</v>
      </c>
      <c r="E65" t="s">
        <v>51</v>
      </c>
      <c r="F65" t="s">
        <v>62</v>
      </c>
      <c r="G65">
        <v>-9</v>
      </c>
      <c r="H65">
        <v>-9</v>
      </c>
      <c r="I65">
        <v>-9</v>
      </c>
      <c r="J65">
        <v>-9</v>
      </c>
      <c r="K65">
        <v>-9</v>
      </c>
      <c r="L65">
        <v>-9</v>
      </c>
      <c r="M65">
        <v>-9</v>
      </c>
      <c r="N65">
        <v>-9</v>
      </c>
      <c r="O65">
        <v>-9</v>
      </c>
      <c r="P65">
        <v>-9</v>
      </c>
      <c r="Q65">
        <v>-9</v>
      </c>
      <c r="R65">
        <v>-9</v>
      </c>
      <c r="S65">
        <v>-9</v>
      </c>
      <c r="T65">
        <v>-9</v>
      </c>
      <c r="U65">
        <v>-9</v>
      </c>
      <c r="V65">
        <v>-9</v>
      </c>
      <c r="W65">
        <v>-9</v>
      </c>
      <c r="X65">
        <v>-9</v>
      </c>
      <c r="Y65">
        <v>-9</v>
      </c>
      <c r="Z65">
        <v>-9</v>
      </c>
      <c r="AA65">
        <v>-9</v>
      </c>
      <c r="AB65">
        <v>-9</v>
      </c>
      <c r="AC65">
        <v>-9</v>
      </c>
      <c r="AD65">
        <v>-9</v>
      </c>
      <c r="AE65">
        <v>-9</v>
      </c>
      <c r="AF65">
        <v>-9</v>
      </c>
      <c r="AG65">
        <v>-9</v>
      </c>
      <c r="AH65">
        <v>-9</v>
      </c>
      <c r="AI65">
        <v>-9</v>
      </c>
      <c r="AJ65">
        <v>-9</v>
      </c>
      <c r="AK65">
        <v>-9</v>
      </c>
      <c r="AL65">
        <v>-9</v>
      </c>
      <c r="AM65" t="s">
        <v>62</v>
      </c>
    </row>
    <row r="66" spans="1:42" x14ac:dyDescent="0.25">
      <c r="A66">
        <v>350130020</v>
      </c>
      <c r="B66">
        <v>32.041111000000001</v>
      </c>
      <c r="C66">
        <v>-106.409167</v>
      </c>
      <c r="D66" t="s">
        <v>50</v>
      </c>
      <c r="E66" t="s">
        <v>51</v>
      </c>
      <c r="F66">
        <v>60.913499999999999</v>
      </c>
      <c r="G66">
        <v>60.460099999999997</v>
      </c>
      <c r="H66">
        <v>60.297699999999999</v>
      </c>
      <c r="I66">
        <v>59.533099999999997</v>
      </c>
      <c r="J66">
        <v>60.757899999999999</v>
      </c>
      <c r="K66">
        <v>60.839100000000002</v>
      </c>
      <c r="L66">
        <v>60.9</v>
      </c>
      <c r="M66">
        <v>60.906700000000001</v>
      </c>
      <c r="N66">
        <v>60.8797</v>
      </c>
      <c r="O66">
        <v>60.412799999999997</v>
      </c>
      <c r="P66">
        <v>59.201500000000003</v>
      </c>
      <c r="Q66">
        <v>59.898499999999999</v>
      </c>
      <c r="R66">
        <v>60.717300000000002</v>
      </c>
      <c r="S66">
        <v>60.6496</v>
      </c>
      <c r="T66">
        <v>60.1218</v>
      </c>
      <c r="U66">
        <v>59.824100000000001</v>
      </c>
      <c r="V66">
        <v>60.778199999999998</v>
      </c>
      <c r="W66">
        <v>60.710500000000003</v>
      </c>
      <c r="X66">
        <v>60.162399999999998</v>
      </c>
      <c r="Y66">
        <v>60.913499999999999</v>
      </c>
      <c r="Z66">
        <v>60.9</v>
      </c>
      <c r="AA66">
        <v>60.872900000000001</v>
      </c>
      <c r="AB66">
        <v>60.764600000000002</v>
      </c>
      <c r="AC66">
        <v>59.966200000000001</v>
      </c>
      <c r="AD66">
        <v>60.764600000000002</v>
      </c>
      <c r="AE66">
        <v>60.8932</v>
      </c>
      <c r="AF66">
        <v>60.115000000000002</v>
      </c>
      <c r="AG66">
        <v>59.905299999999997</v>
      </c>
      <c r="AH66">
        <v>60.866100000000003</v>
      </c>
      <c r="AI66">
        <v>60.872900000000001</v>
      </c>
      <c r="AJ66">
        <v>60.683399999999999</v>
      </c>
      <c r="AK66">
        <v>60.8797</v>
      </c>
      <c r="AL66">
        <v>60.886400000000002</v>
      </c>
      <c r="AM66">
        <v>13.2356</v>
      </c>
    </row>
    <row r="67" spans="1:42" x14ac:dyDescent="0.25">
      <c r="A67">
        <v>350130021</v>
      </c>
      <c r="B67">
        <v>31.796111</v>
      </c>
      <c r="C67">
        <v>-106.583889</v>
      </c>
      <c r="D67" t="s">
        <v>50</v>
      </c>
      <c r="E67" t="s">
        <v>51</v>
      </c>
      <c r="F67">
        <v>65.256100000000004</v>
      </c>
      <c r="G67">
        <v>64.858400000000003</v>
      </c>
      <c r="H67">
        <v>64.567300000000003</v>
      </c>
      <c r="I67">
        <v>63.970999999999997</v>
      </c>
      <c r="J67">
        <v>65.185100000000006</v>
      </c>
      <c r="K67">
        <v>65.227599999999995</v>
      </c>
      <c r="L67">
        <v>65.256100000000004</v>
      </c>
      <c r="M67">
        <v>65.256100000000004</v>
      </c>
      <c r="N67">
        <v>65.213399999999993</v>
      </c>
      <c r="O67">
        <v>64.773300000000006</v>
      </c>
      <c r="P67">
        <v>63.623100000000001</v>
      </c>
      <c r="Q67">
        <v>63.779200000000003</v>
      </c>
      <c r="R67">
        <v>65.177899999999994</v>
      </c>
      <c r="S67">
        <v>64.979200000000006</v>
      </c>
      <c r="T67">
        <v>64.602900000000005</v>
      </c>
      <c r="U67">
        <v>64.155500000000004</v>
      </c>
      <c r="V67">
        <v>65.206400000000002</v>
      </c>
      <c r="W67">
        <v>64.993300000000005</v>
      </c>
      <c r="X67">
        <v>64.141400000000004</v>
      </c>
      <c r="Y67">
        <v>65.256100000000004</v>
      </c>
      <c r="Z67">
        <v>65.241900000000001</v>
      </c>
      <c r="AA67">
        <v>65.163700000000006</v>
      </c>
      <c r="AB67">
        <v>65.199200000000005</v>
      </c>
      <c r="AC67">
        <v>63.090499999999999</v>
      </c>
      <c r="AD67">
        <v>65.163700000000006</v>
      </c>
      <c r="AE67">
        <v>65.234700000000004</v>
      </c>
      <c r="AF67">
        <v>64.602900000000005</v>
      </c>
      <c r="AG67">
        <v>63.559100000000001</v>
      </c>
      <c r="AH67">
        <v>65.234700000000004</v>
      </c>
      <c r="AI67">
        <v>65.206400000000002</v>
      </c>
      <c r="AJ67">
        <v>65.036000000000001</v>
      </c>
      <c r="AK67">
        <v>65.185100000000006</v>
      </c>
      <c r="AL67">
        <v>65.248999999999995</v>
      </c>
      <c r="AM67">
        <v>15.108700000000001</v>
      </c>
    </row>
    <row r="68" spans="1:42" x14ac:dyDescent="0.25">
      <c r="A68">
        <v>350130022</v>
      </c>
      <c r="B68">
        <v>31.787777999999999</v>
      </c>
      <c r="C68">
        <v>-106.682778</v>
      </c>
      <c r="D68" t="s">
        <v>50</v>
      </c>
      <c r="E68" t="s">
        <v>51</v>
      </c>
      <c r="F68">
        <v>63.925899999999999</v>
      </c>
      <c r="G68">
        <v>63.518000000000001</v>
      </c>
      <c r="H68">
        <v>63.187399999999997</v>
      </c>
      <c r="I68">
        <v>63.081899999999997</v>
      </c>
      <c r="J68">
        <v>63.8626</v>
      </c>
      <c r="K68">
        <v>63.897799999999997</v>
      </c>
      <c r="L68">
        <v>63.918900000000001</v>
      </c>
      <c r="M68">
        <v>63.925899999999999</v>
      </c>
      <c r="N68">
        <v>63.890700000000002</v>
      </c>
      <c r="O68">
        <v>63.398400000000002</v>
      </c>
      <c r="P68">
        <v>62.301200000000001</v>
      </c>
      <c r="Q68">
        <v>62.884999999999998</v>
      </c>
      <c r="R68">
        <v>63.855600000000003</v>
      </c>
      <c r="S68">
        <v>63.630499999999998</v>
      </c>
      <c r="T68">
        <v>63.264800000000001</v>
      </c>
      <c r="U68">
        <v>63.278799999999997</v>
      </c>
      <c r="V68">
        <v>63.8767</v>
      </c>
      <c r="W68">
        <v>63.651600000000002</v>
      </c>
      <c r="X68">
        <v>62.3504</v>
      </c>
      <c r="Y68">
        <v>63.925899999999999</v>
      </c>
      <c r="Z68">
        <v>63.918900000000001</v>
      </c>
      <c r="AA68">
        <v>63.834499999999998</v>
      </c>
      <c r="AB68">
        <v>63.848500000000001</v>
      </c>
      <c r="AC68">
        <v>61.879199999999997</v>
      </c>
      <c r="AD68">
        <v>63.834499999999998</v>
      </c>
      <c r="AE68">
        <v>63.904800000000002</v>
      </c>
      <c r="AF68">
        <v>63.285899999999998</v>
      </c>
      <c r="AG68">
        <v>63.173299999999998</v>
      </c>
      <c r="AH68">
        <v>63.911799999999999</v>
      </c>
      <c r="AI68">
        <v>63.869599999999998</v>
      </c>
      <c r="AJ68">
        <v>63.735999999999997</v>
      </c>
      <c r="AK68">
        <v>63.883699999999997</v>
      </c>
      <c r="AL68">
        <v>63.918900000000001</v>
      </c>
      <c r="AM68">
        <v>13.518000000000001</v>
      </c>
    </row>
    <row r="69" spans="1:42" x14ac:dyDescent="0.25">
      <c r="A69">
        <v>350130023</v>
      </c>
      <c r="B69">
        <v>32.317500000000003</v>
      </c>
      <c r="C69">
        <v>-106.76777800000001</v>
      </c>
      <c r="D69" t="s">
        <v>50</v>
      </c>
      <c r="E69" t="s">
        <v>51</v>
      </c>
      <c r="F69">
        <v>59.302399999999999</v>
      </c>
      <c r="G69">
        <v>58.633299999999998</v>
      </c>
      <c r="H69">
        <v>58.697699999999998</v>
      </c>
      <c r="I69">
        <v>58.369599999999998</v>
      </c>
      <c r="J69">
        <v>59.1995</v>
      </c>
      <c r="K69">
        <v>59.180199999999999</v>
      </c>
      <c r="L69">
        <v>59.302399999999999</v>
      </c>
      <c r="M69">
        <v>59.302399999999999</v>
      </c>
      <c r="N69">
        <v>59.295999999999999</v>
      </c>
      <c r="O69">
        <v>57.700499999999998</v>
      </c>
      <c r="P69">
        <v>58.807000000000002</v>
      </c>
      <c r="Q69">
        <v>58.922800000000002</v>
      </c>
      <c r="R69">
        <v>59.160899999999998</v>
      </c>
      <c r="S69">
        <v>58.536799999999999</v>
      </c>
      <c r="T69">
        <v>59.038600000000002</v>
      </c>
      <c r="U69">
        <v>58.742699999999999</v>
      </c>
      <c r="V69">
        <v>59.1995</v>
      </c>
      <c r="W69">
        <v>59.019300000000001</v>
      </c>
      <c r="X69">
        <v>58.356699999999996</v>
      </c>
      <c r="Y69">
        <v>59.302399999999999</v>
      </c>
      <c r="Z69">
        <v>59.289499999999997</v>
      </c>
      <c r="AA69">
        <v>59.173699999999997</v>
      </c>
      <c r="AB69">
        <v>59.263800000000003</v>
      </c>
      <c r="AC69">
        <v>58.234499999999997</v>
      </c>
      <c r="AD69">
        <v>59.160899999999998</v>
      </c>
      <c r="AE69">
        <v>59.192999999999998</v>
      </c>
      <c r="AF69">
        <v>59.1158</v>
      </c>
      <c r="AG69">
        <v>58.91</v>
      </c>
      <c r="AH69">
        <v>59.263800000000003</v>
      </c>
      <c r="AI69">
        <v>59.148000000000003</v>
      </c>
      <c r="AJ69">
        <v>59.257399999999997</v>
      </c>
      <c r="AK69">
        <v>59.295999999999999</v>
      </c>
      <c r="AL69">
        <v>59.276699999999998</v>
      </c>
      <c r="AM69">
        <v>10.8787</v>
      </c>
    </row>
    <row r="70" spans="1:42" x14ac:dyDescent="0.25">
      <c r="A70">
        <v>350131012</v>
      </c>
      <c r="B70">
        <v>32.281388999999997</v>
      </c>
      <c r="C70">
        <v>-106.767222</v>
      </c>
      <c r="D70" t="s">
        <v>50</v>
      </c>
      <c r="E70" t="s">
        <v>51</v>
      </c>
      <c r="F70" t="s">
        <v>62</v>
      </c>
      <c r="G70">
        <v>-9</v>
      </c>
      <c r="H70">
        <v>-9</v>
      </c>
      <c r="I70">
        <v>-9</v>
      </c>
      <c r="J70">
        <v>-9</v>
      </c>
      <c r="K70">
        <v>-9</v>
      </c>
      <c r="L70">
        <v>-9</v>
      </c>
      <c r="M70">
        <v>-9</v>
      </c>
      <c r="N70">
        <v>-9</v>
      </c>
      <c r="O70">
        <v>-9</v>
      </c>
      <c r="P70">
        <v>-9</v>
      </c>
      <c r="Q70">
        <v>-9</v>
      </c>
      <c r="R70">
        <v>-9</v>
      </c>
      <c r="S70">
        <v>-9</v>
      </c>
      <c r="T70">
        <v>-9</v>
      </c>
      <c r="U70">
        <v>-9</v>
      </c>
      <c r="V70">
        <v>-9</v>
      </c>
      <c r="W70">
        <v>-9</v>
      </c>
      <c r="X70">
        <v>-9</v>
      </c>
      <c r="Y70">
        <v>-9</v>
      </c>
      <c r="Z70">
        <v>-9</v>
      </c>
      <c r="AA70">
        <v>-9</v>
      </c>
      <c r="AB70">
        <v>-9</v>
      </c>
      <c r="AC70">
        <v>-9</v>
      </c>
      <c r="AD70">
        <v>-9</v>
      </c>
      <c r="AE70">
        <v>-9</v>
      </c>
      <c r="AF70">
        <v>-9</v>
      </c>
      <c r="AG70">
        <v>-9</v>
      </c>
      <c r="AH70">
        <v>-9</v>
      </c>
      <c r="AI70">
        <v>-9</v>
      </c>
      <c r="AJ70">
        <v>-9</v>
      </c>
      <c r="AK70">
        <v>-9</v>
      </c>
      <c r="AL70">
        <v>-9</v>
      </c>
      <c r="AM70" t="s">
        <v>62</v>
      </c>
    </row>
    <row r="71" spans="1:42" x14ac:dyDescent="0.25">
      <c r="A71">
        <v>350151005</v>
      </c>
      <c r="B71">
        <v>32.380000000000003</v>
      </c>
      <c r="C71">
        <v>-104.26222199999999</v>
      </c>
      <c r="D71" t="s">
        <v>50</v>
      </c>
      <c r="E71" t="s">
        <v>52</v>
      </c>
      <c r="F71">
        <v>67.549899999999994</v>
      </c>
      <c r="G71">
        <v>67.269900000000007</v>
      </c>
      <c r="H71">
        <v>66.983000000000004</v>
      </c>
      <c r="I71">
        <v>66.941000000000003</v>
      </c>
      <c r="J71">
        <v>67.528899999999993</v>
      </c>
      <c r="K71">
        <v>67.493899999999996</v>
      </c>
      <c r="L71">
        <v>67.542900000000003</v>
      </c>
      <c r="M71">
        <v>67.542900000000003</v>
      </c>
      <c r="N71">
        <v>67.361000000000004</v>
      </c>
      <c r="O71">
        <v>67.353899999999996</v>
      </c>
      <c r="P71">
        <v>67.305000000000007</v>
      </c>
      <c r="Q71">
        <v>67.353899999999996</v>
      </c>
      <c r="R71">
        <v>67.515000000000001</v>
      </c>
      <c r="S71">
        <v>67.423900000000003</v>
      </c>
      <c r="T71">
        <v>67.34</v>
      </c>
      <c r="U71">
        <v>67.438000000000002</v>
      </c>
      <c r="V71">
        <v>67.528899999999993</v>
      </c>
      <c r="W71">
        <v>65.323899999999995</v>
      </c>
      <c r="X71">
        <v>64.364900000000006</v>
      </c>
      <c r="Y71">
        <v>67.549899999999994</v>
      </c>
      <c r="Z71">
        <v>67.486900000000006</v>
      </c>
      <c r="AA71">
        <v>67.438000000000002</v>
      </c>
      <c r="AB71">
        <v>67.472899999999996</v>
      </c>
      <c r="AC71">
        <v>65.778899999999993</v>
      </c>
      <c r="AD71">
        <v>67.501000000000005</v>
      </c>
      <c r="AE71">
        <v>67.507900000000006</v>
      </c>
      <c r="AF71">
        <v>67.48</v>
      </c>
      <c r="AG71">
        <v>67.536000000000001</v>
      </c>
      <c r="AH71">
        <v>67.536000000000001</v>
      </c>
      <c r="AI71">
        <v>67.515000000000001</v>
      </c>
      <c r="AJ71">
        <v>67.542900000000003</v>
      </c>
      <c r="AK71">
        <v>67.549899999999994</v>
      </c>
      <c r="AL71">
        <v>67.542900000000003</v>
      </c>
      <c r="AM71">
        <v>12.285</v>
      </c>
    </row>
    <row r="72" spans="1:42" x14ac:dyDescent="0.25">
      <c r="A72">
        <v>350171003</v>
      </c>
      <c r="B72">
        <v>32.691943999999999</v>
      </c>
      <c r="C72">
        <v>-108.124444</v>
      </c>
      <c r="D72" t="s">
        <v>50</v>
      </c>
      <c r="E72" t="s">
        <v>53</v>
      </c>
      <c r="F72">
        <v>62.133400000000002</v>
      </c>
      <c r="G72">
        <v>61.476900000000001</v>
      </c>
      <c r="H72">
        <v>61.814900000000002</v>
      </c>
      <c r="I72">
        <v>61.548400000000001</v>
      </c>
      <c r="J72">
        <v>61.957999999999998</v>
      </c>
      <c r="K72">
        <v>62.023000000000003</v>
      </c>
      <c r="L72">
        <v>62.126899999999999</v>
      </c>
      <c r="M72">
        <v>62.107500000000002</v>
      </c>
      <c r="N72">
        <v>62.107500000000002</v>
      </c>
      <c r="O72">
        <v>61.581000000000003</v>
      </c>
      <c r="P72">
        <v>61.945</v>
      </c>
      <c r="Q72">
        <v>61.964500000000001</v>
      </c>
      <c r="R72">
        <v>61.769500000000001</v>
      </c>
      <c r="S72">
        <v>61.730400000000003</v>
      </c>
      <c r="T72">
        <v>62.016399999999997</v>
      </c>
      <c r="U72">
        <v>61.7239</v>
      </c>
      <c r="V72">
        <v>61.893000000000001</v>
      </c>
      <c r="W72">
        <v>61.828000000000003</v>
      </c>
      <c r="X72">
        <v>61.229900000000001</v>
      </c>
      <c r="Y72">
        <v>62.126899999999999</v>
      </c>
      <c r="Z72">
        <v>62.100900000000003</v>
      </c>
      <c r="AA72">
        <v>62.048900000000003</v>
      </c>
      <c r="AB72">
        <v>62.107500000000002</v>
      </c>
      <c r="AC72">
        <v>61.6265</v>
      </c>
      <c r="AD72">
        <v>61.932000000000002</v>
      </c>
      <c r="AE72">
        <v>62.107500000000002</v>
      </c>
      <c r="AF72">
        <v>62.061900000000001</v>
      </c>
      <c r="AG72">
        <v>61.938400000000001</v>
      </c>
      <c r="AH72">
        <v>62.042499999999997</v>
      </c>
      <c r="AI72">
        <v>62.094499999999996</v>
      </c>
      <c r="AJ72">
        <v>62.120399999999997</v>
      </c>
      <c r="AK72">
        <v>62.126899999999999</v>
      </c>
      <c r="AL72">
        <v>62.055500000000002</v>
      </c>
      <c r="AM72">
        <v>8.4565000000000001</v>
      </c>
    </row>
    <row r="73" spans="1:42" x14ac:dyDescent="0.25">
      <c r="A73">
        <v>350290003</v>
      </c>
      <c r="B73">
        <v>32.255800000000001</v>
      </c>
      <c r="C73">
        <v>-107.7227</v>
      </c>
      <c r="D73" t="s">
        <v>50</v>
      </c>
      <c r="E73" t="s">
        <v>54</v>
      </c>
      <c r="F73">
        <v>58.753700000000002</v>
      </c>
      <c r="G73">
        <v>58.262300000000003</v>
      </c>
      <c r="H73">
        <v>58.268700000000003</v>
      </c>
      <c r="I73">
        <v>58.218200000000003</v>
      </c>
      <c r="J73">
        <v>58.640300000000003</v>
      </c>
      <c r="K73">
        <v>58.652999999999999</v>
      </c>
      <c r="L73">
        <v>58.747500000000002</v>
      </c>
      <c r="M73">
        <v>58.753700000000002</v>
      </c>
      <c r="N73">
        <v>57.909500000000001</v>
      </c>
      <c r="O73">
        <v>57.966299999999997</v>
      </c>
      <c r="P73">
        <v>58.306399999999996</v>
      </c>
      <c r="Q73">
        <v>58.438800000000001</v>
      </c>
      <c r="R73">
        <v>58.5396</v>
      </c>
      <c r="S73">
        <v>58.426200000000001</v>
      </c>
      <c r="T73">
        <v>58.508000000000003</v>
      </c>
      <c r="U73">
        <v>58.407200000000003</v>
      </c>
      <c r="V73">
        <v>58.608800000000002</v>
      </c>
      <c r="W73">
        <v>58.375700000000002</v>
      </c>
      <c r="X73">
        <v>57.247999999999998</v>
      </c>
      <c r="Y73">
        <v>58.753700000000002</v>
      </c>
      <c r="Z73">
        <v>58.7286</v>
      </c>
      <c r="AA73">
        <v>58.640300000000003</v>
      </c>
      <c r="AB73">
        <v>58.6907</v>
      </c>
      <c r="AC73">
        <v>57.903300000000002</v>
      </c>
      <c r="AD73">
        <v>58.596200000000003</v>
      </c>
      <c r="AE73">
        <v>58.716000000000001</v>
      </c>
      <c r="AF73">
        <v>58.577300000000001</v>
      </c>
      <c r="AG73">
        <v>58.445</v>
      </c>
      <c r="AH73">
        <v>58.697000000000003</v>
      </c>
      <c r="AI73">
        <v>58.697000000000003</v>
      </c>
      <c r="AJ73">
        <v>58.716000000000001</v>
      </c>
      <c r="AK73">
        <v>58.747500000000002</v>
      </c>
      <c r="AL73">
        <v>58.722299999999997</v>
      </c>
      <c r="AM73">
        <v>10.0548</v>
      </c>
    </row>
    <row r="74" spans="1:42" x14ac:dyDescent="0.25">
      <c r="A74">
        <v>481410029</v>
      </c>
      <c r="B74">
        <v>31.785768999999998</v>
      </c>
      <c r="C74">
        <v>-106.323578</v>
      </c>
      <c r="D74" t="s">
        <v>55</v>
      </c>
      <c r="E74" t="s">
        <v>56</v>
      </c>
      <c r="F74">
        <v>58.5974</v>
      </c>
      <c r="G74">
        <v>58.194400000000002</v>
      </c>
      <c r="H74">
        <v>57.914900000000003</v>
      </c>
      <c r="I74">
        <v>56.978999999999999</v>
      </c>
      <c r="J74">
        <v>58.467500000000001</v>
      </c>
      <c r="K74">
        <v>58.558500000000002</v>
      </c>
      <c r="L74">
        <v>58.591000000000001</v>
      </c>
      <c r="M74">
        <v>58.5974</v>
      </c>
      <c r="N74">
        <v>58.584400000000002</v>
      </c>
      <c r="O74">
        <v>58.246400000000001</v>
      </c>
      <c r="P74">
        <v>56.283499999999997</v>
      </c>
      <c r="Q74">
        <v>56.965899999999998</v>
      </c>
      <c r="R74">
        <v>58.441400000000002</v>
      </c>
      <c r="S74">
        <v>58.383000000000003</v>
      </c>
      <c r="T74">
        <v>57.615900000000003</v>
      </c>
      <c r="U74">
        <v>57.284500000000001</v>
      </c>
      <c r="V74">
        <v>58.493499999999997</v>
      </c>
      <c r="W74">
        <v>58.383000000000003</v>
      </c>
      <c r="X74">
        <v>57.927900000000001</v>
      </c>
      <c r="Y74">
        <v>58.5974</v>
      </c>
      <c r="Z74">
        <v>58.584400000000002</v>
      </c>
      <c r="AA74">
        <v>58.545400000000001</v>
      </c>
      <c r="AB74">
        <v>58.519500000000001</v>
      </c>
      <c r="AC74">
        <v>57.596400000000003</v>
      </c>
      <c r="AD74">
        <v>58.5</v>
      </c>
      <c r="AE74">
        <v>58.578000000000003</v>
      </c>
      <c r="AF74">
        <v>57.732900000000001</v>
      </c>
      <c r="AG74">
        <v>57.154400000000003</v>
      </c>
      <c r="AH74">
        <v>58.558500000000002</v>
      </c>
      <c r="AI74">
        <v>58.564999999999998</v>
      </c>
      <c r="AJ74">
        <v>58.181399999999996</v>
      </c>
      <c r="AK74">
        <v>58.551900000000003</v>
      </c>
      <c r="AL74">
        <v>58.5715</v>
      </c>
      <c r="AM74">
        <v>15.1059</v>
      </c>
    </row>
    <row r="75" spans="1:42" x14ac:dyDescent="0.25">
      <c r="A75">
        <v>481410037</v>
      </c>
      <c r="B75">
        <v>31.768291000000001</v>
      </c>
      <c r="C75">
        <v>-106.50126</v>
      </c>
      <c r="D75" t="s">
        <v>55</v>
      </c>
      <c r="E75" t="s">
        <v>56</v>
      </c>
      <c r="F75">
        <v>65.284400000000005</v>
      </c>
      <c r="G75">
        <v>64.837100000000007</v>
      </c>
      <c r="H75">
        <v>64.531899999999993</v>
      </c>
      <c r="I75">
        <v>63.729500000000002</v>
      </c>
      <c r="J75">
        <v>65.199200000000005</v>
      </c>
      <c r="K75">
        <v>65.248999999999995</v>
      </c>
      <c r="L75">
        <v>65.2774</v>
      </c>
      <c r="M75">
        <v>65.2774</v>
      </c>
      <c r="N75">
        <v>65.234700000000004</v>
      </c>
      <c r="O75">
        <v>64.858400000000003</v>
      </c>
      <c r="P75">
        <v>63.552100000000003</v>
      </c>
      <c r="Q75">
        <v>63.374499999999998</v>
      </c>
      <c r="R75">
        <v>65.199200000000005</v>
      </c>
      <c r="S75">
        <v>65.021699999999996</v>
      </c>
      <c r="T75">
        <v>64.524699999999996</v>
      </c>
      <c r="U75">
        <v>63.892899999999997</v>
      </c>
      <c r="V75">
        <v>65.227599999999995</v>
      </c>
      <c r="W75">
        <v>64.971999999999994</v>
      </c>
      <c r="X75">
        <v>64.269099999999995</v>
      </c>
      <c r="Y75">
        <v>65.284400000000005</v>
      </c>
      <c r="Z75">
        <v>65.263099999999994</v>
      </c>
      <c r="AA75">
        <v>65.192099999999996</v>
      </c>
      <c r="AB75">
        <v>65.213399999999993</v>
      </c>
      <c r="AC75">
        <v>63.7012</v>
      </c>
      <c r="AD75">
        <v>65.185100000000006</v>
      </c>
      <c r="AE75">
        <v>65.263099999999994</v>
      </c>
      <c r="AF75">
        <v>64.290400000000005</v>
      </c>
      <c r="AG75">
        <v>63.2468</v>
      </c>
      <c r="AH75">
        <v>65.263099999999994</v>
      </c>
      <c r="AI75">
        <v>65.241900000000001</v>
      </c>
      <c r="AJ75">
        <v>65.000500000000002</v>
      </c>
      <c r="AK75">
        <v>65.185100000000006</v>
      </c>
      <c r="AL75">
        <v>65.270300000000006</v>
      </c>
      <c r="AM75">
        <v>16.457699999999999</v>
      </c>
    </row>
    <row r="76" spans="1:42" x14ac:dyDescent="0.25">
      <c r="A76">
        <v>481410044</v>
      </c>
      <c r="B76">
        <v>31.765685000000001</v>
      </c>
      <c r="C76">
        <v>-106.45522699999999</v>
      </c>
      <c r="D76" t="s">
        <v>55</v>
      </c>
      <c r="E76" t="s">
        <v>56</v>
      </c>
      <c r="F76">
        <v>62.886600000000001</v>
      </c>
      <c r="G76">
        <v>62.3414</v>
      </c>
      <c r="H76">
        <v>62.168999999999997</v>
      </c>
      <c r="I76">
        <v>61.237400000000001</v>
      </c>
      <c r="J76">
        <v>62.741700000000002</v>
      </c>
      <c r="K76">
        <v>62.845199999999998</v>
      </c>
      <c r="L76">
        <v>62.879600000000003</v>
      </c>
      <c r="M76">
        <v>62.886600000000001</v>
      </c>
      <c r="N76">
        <v>62.872700000000002</v>
      </c>
      <c r="O76">
        <v>62.375999999999998</v>
      </c>
      <c r="P76">
        <v>61.037399999999998</v>
      </c>
      <c r="Q76">
        <v>61.092500000000001</v>
      </c>
      <c r="R76">
        <v>62.727800000000002</v>
      </c>
      <c r="S76">
        <v>62.5899</v>
      </c>
      <c r="T76">
        <v>62.072299999999998</v>
      </c>
      <c r="U76">
        <v>61.430700000000002</v>
      </c>
      <c r="V76">
        <v>62.783099999999997</v>
      </c>
      <c r="W76">
        <v>62.610500000000002</v>
      </c>
      <c r="X76">
        <v>62.003300000000003</v>
      </c>
      <c r="Y76">
        <v>62.886600000000001</v>
      </c>
      <c r="Z76">
        <v>62.872700000000002</v>
      </c>
      <c r="AA76">
        <v>62.817500000000003</v>
      </c>
      <c r="AB76">
        <v>62.817500000000003</v>
      </c>
      <c r="AC76">
        <v>61.5411</v>
      </c>
      <c r="AD76">
        <v>62.783099999999997</v>
      </c>
      <c r="AE76">
        <v>62.865900000000003</v>
      </c>
      <c r="AF76">
        <v>61.616999999999997</v>
      </c>
      <c r="AG76">
        <v>61.196100000000001</v>
      </c>
      <c r="AH76">
        <v>62.8521</v>
      </c>
      <c r="AI76">
        <v>62.845199999999998</v>
      </c>
      <c r="AJ76">
        <v>62.582900000000002</v>
      </c>
      <c r="AK76">
        <v>62.810600000000001</v>
      </c>
      <c r="AL76">
        <v>62.865900000000003</v>
      </c>
      <c r="AM76">
        <v>16.5945</v>
      </c>
    </row>
    <row r="77" spans="1:42" x14ac:dyDescent="0.25">
      <c r="A77">
        <v>481410055</v>
      </c>
      <c r="B77">
        <v>31.746775</v>
      </c>
      <c r="C77">
        <v>-106.402806</v>
      </c>
      <c r="D77" t="s">
        <v>55</v>
      </c>
      <c r="E77" t="s">
        <v>56</v>
      </c>
      <c r="F77">
        <v>59.960900000000002</v>
      </c>
      <c r="G77">
        <v>59.459400000000002</v>
      </c>
      <c r="H77">
        <v>59.254800000000003</v>
      </c>
      <c r="I77">
        <v>58.363700000000001</v>
      </c>
      <c r="J77">
        <v>59.815800000000003</v>
      </c>
      <c r="K77">
        <v>59.921399999999998</v>
      </c>
      <c r="L77">
        <v>59.954300000000003</v>
      </c>
      <c r="M77">
        <v>59.954300000000003</v>
      </c>
      <c r="N77">
        <v>59.941200000000002</v>
      </c>
      <c r="O77">
        <v>59.512099999999997</v>
      </c>
      <c r="P77">
        <v>57.974299999999999</v>
      </c>
      <c r="Q77">
        <v>58.086500000000001</v>
      </c>
      <c r="R77">
        <v>59.795900000000003</v>
      </c>
      <c r="S77">
        <v>59.690300000000001</v>
      </c>
      <c r="T77">
        <v>59.1096</v>
      </c>
      <c r="U77">
        <v>58.561700000000002</v>
      </c>
      <c r="V77">
        <v>59.855400000000003</v>
      </c>
      <c r="W77">
        <v>59.696899999999999</v>
      </c>
      <c r="X77">
        <v>59.1096</v>
      </c>
      <c r="Y77">
        <v>59.960900000000002</v>
      </c>
      <c r="Z77">
        <v>59.941200000000002</v>
      </c>
      <c r="AA77">
        <v>59.8949</v>
      </c>
      <c r="AB77">
        <v>59.881700000000002</v>
      </c>
      <c r="AC77">
        <v>58.812600000000003</v>
      </c>
      <c r="AD77">
        <v>59.855400000000003</v>
      </c>
      <c r="AE77">
        <v>59.934600000000003</v>
      </c>
      <c r="AF77">
        <v>59.089700000000001</v>
      </c>
      <c r="AG77">
        <v>58.3703</v>
      </c>
      <c r="AH77">
        <v>59.921399999999998</v>
      </c>
      <c r="AI77">
        <v>59.921399999999998</v>
      </c>
      <c r="AJ77">
        <v>59.617800000000003</v>
      </c>
      <c r="AK77">
        <v>59.901499999999999</v>
      </c>
      <c r="AL77">
        <v>59.934600000000003</v>
      </c>
      <c r="AM77">
        <v>15.813599999999999</v>
      </c>
    </row>
    <row r="78" spans="1:42" x14ac:dyDescent="0.25">
      <c r="A78">
        <v>481410057</v>
      </c>
      <c r="B78">
        <v>31.6675</v>
      </c>
      <c r="C78">
        <v>-106.288</v>
      </c>
      <c r="D78" t="s">
        <v>55</v>
      </c>
      <c r="E78" t="s">
        <v>56</v>
      </c>
      <c r="F78">
        <v>59.9741</v>
      </c>
      <c r="G78">
        <v>59.505499999999998</v>
      </c>
      <c r="H78">
        <v>59.261400000000002</v>
      </c>
      <c r="I78">
        <v>58.542000000000002</v>
      </c>
      <c r="J78">
        <v>59.789400000000001</v>
      </c>
      <c r="K78">
        <v>59.934600000000003</v>
      </c>
      <c r="L78">
        <v>59.9741</v>
      </c>
      <c r="M78">
        <v>59.960900000000002</v>
      </c>
      <c r="N78">
        <v>59.934600000000003</v>
      </c>
      <c r="O78">
        <v>59.545200000000001</v>
      </c>
      <c r="P78">
        <v>58.060200000000002</v>
      </c>
      <c r="Q78">
        <v>58.231699999999996</v>
      </c>
      <c r="R78">
        <v>59.696899999999999</v>
      </c>
      <c r="S78">
        <v>59.716799999999999</v>
      </c>
      <c r="T78">
        <v>59.155700000000003</v>
      </c>
      <c r="U78">
        <v>58.706899999999997</v>
      </c>
      <c r="V78">
        <v>59.809100000000001</v>
      </c>
      <c r="W78">
        <v>59.736600000000003</v>
      </c>
      <c r="X78">
        <v>59.1755</v>
      </c>
      <c r="Y78">
        <v>59.9741</v>
      </c>
      <c r="Z78">
        <v>59.960900000000002</v>
      </c>
      <c r="AA78">
        <v>59.921399999999998</v>
      </c>
      <c r="AB78">
        <v>59.9148</v>
      </c>
      <c r="AC78">
        <v>58.984200000000001</v>
      </c>
      <c r="AD78">
        <v>59.815800000000003</v>
      </c>
      <c r="AE78">
        <v>59.954300000000003</v>
      </c>
      <c r="AF78">
        <v>59.485700000000001</v>
      </c>
      <c r="AG78">
        <v>58.654200000000003</v>
      </c>
      <c r="AH78">
        <v>59.9148</v>
      </c>
      <c r="AI78">
        <v>59.941200000000002</v>
      </c>
      <c r="AJ78">
        <v>59.677100000000003</v>
      </c>
      <c r="AK78">
        <v>59.941200000000002</v>
      </c>
      <c r="AL78">
        <v>59.934600000000003</v>
      </c>
      <c r="AM78">
        <v>14.586</v>
      </c>
    </row>
    <row r="79" spans="1:42" x14ac:dyDescent="0.25">
      <c r="A79">
        <v>481410058</v>
      </c>
      <c r="B79">
        <v>31.893913000000001</v>
      </c>
      <c r="C79">
        <v>-106.425827</v>
      </c>
      <c r="D79" t="s">
        <v>55</v>
      </c>
      <c r="E79" t="s">
        <v>56</v>
      </c>
      <c r="F79">
        <v>61.921500000000002</v>
      </c>
      <c r="G79">
        <v>61.436199999999999</v>
      </c>
      <c r="H79">
        <v>61.1935</v>
      </c>
      <c r="I79">
        <v>60.3962</v>
      </c>
      <c r="J79">
        <v>61.762099999999997</v>
      </c>
      <c r="K79">
        <v>61.838299999999997</v>
      </c>
      <c r="L79">
        <v>61.9146</v>
      </c>
      <c r="M79">
        <v>61.921500000000002</v>
      </c>
      <c r="N79">
        <v>61.907699999999998</v>
      </c>
      <c r="O79">
        <v>61.4223</v>
      </c>
      <c r="P79">
        <v>59.5503</v>
      </c>
      <c r="Q79">
        <v>60.527900000000002</v>
      </c>
      <c r="R79">
        <v>61.741300000000003</v>
      </c>
      <c r="S79">
        <v>61.637300000000003</v>
      </c>
      <c r="T79">
        <v>60.8399</v>
      </c>
      <c r="U79">
        <v>60.735900000000001</v>
      </c>
      <c r="V79">
        <v>61.803699999999999</v>
      </c>
      <c r="W79">
        <v>61.644199999999998</v>
      </c>
      <c r="X79">
        <v>61.054900000000004</v>
      </c>
      <c r="Y79">
        <v>61.921500000000002</v>
      </c>
      <c r="Z79">
        <v>61.900700000000001</v>
      </c>
      <c r="AA79">
        <v>61.852200000000003</v>
      </c>
      <c r="AB79">
        <v>61.831400000000002</v>
      </c>
      <c r="AC79">
        <v>60.659700000000001</v>
      </c>
      <c r="AD79">
        <v>61.7759</v>
      </c>
      <c r="AE79">
        <v>61.900700000000001</v>
      </c>
      <c r="AF79">
        <v>60.777500000000003</v>
      </c>
      <c r="AG79">
        <v>60.7151</v>
      </c>
      <c r="AH79">
        <v>61.879899999999999</v>
      </c>
      <c r="AI79">
        <v>61.879899999999999</v>
      </c>
      <c r="AJ79">
        <v>61.554099999999998</v>
      </c>
      <c r="AK79">
        <v>61.872999999999998</v>
      </c>
      <c r="AL79">
        <v>61.893799999999999</v>
      </c>
      <c r="AM79">
        <v>15.9397</v>
      </c>
    </row>
    <row r="80" spans="1:42" ht="21" x14ac:dyDescent="0.35">
      <c r="A80" s="14" t="s">
        <v>168</v>
      </c>
      <c r="AN80" s="72" t="s">
        <v>207</v>
      </c>
      <c r="AO80" s="69"/>
      <c r="AP80" s="69"/>
    </row>
    <row r="81" spans="1:42" x14ac:dyDescent="0.25">
      <c r="A81" s="1" t="s">
        <v>57</v>
      </c>
      <c r="B81" s="1" t="s">
        <v>58</v>
      </c>
      <c r="C81" s="1" t="s">
        <v>59</v>
      </c>
      <c r="D81" s="1" t="s">
        <v>60</v>
      </c>
      <c r="E81" s="1" t="s">
        <v>61</v>
      </c>
      <c r="F81" s="1"/>
      <c r="G81" s="1" t="str">
        <f t="shared" ref="G81:AL81" si="35">G62&amp;"_contribution"</f>
        <v>O3T001001_contribution</v>
      </c>
      <c r="H81" s="1" t="str">
        <f t="shared" si="35"/>
        <v>O3T001002_contribution</v>
      </c>
      <c r="I81" s="1" t="str">
        <f t="shared" si="35"/>
        <v>O3T001003_contribution</v>
      </c>
      <c r="J81" s="1" t="str">
        <f t="shared" si="35"/>
        <v>O3T001004_contribution</v>
      </c>
      <c r="K81" s="1" t="str">
        <f t="shared" si="35"/>
        <v>O3T002001_contribution</v>
      </c>
      <c r="L81" s="1" t="str">
        <f t="shared" si="35"/>
        <v>O3T002002_contribution</v>
      </c>
      <c r="M81" s="1" t="str">
        <f t="shared" si="35"/>
        <v>O3T002003_contribution</v>
      </c>
      <c r="N81" s="1" t="str">
        <f t="shared" si="35"/>
        <v>O3T002004_contribution</v>
      </c>
      <c r="O81" s="1" t="str">
        <f t="shared" si="35"/>
        <v>O3T003001_contribution</v>
      </c>
      <c r="P81" s="1" t="str">
        <f t="shared" si="35"/>
        <v>O3T003002_contribution</v>
      </c>
      <c r="Q81" s="1" t="str">
        <f t="shared" si="35"/>
        <v>O3T003003_contribution</v>
      </c>
      <c r="R81" s="1" t="str">
        <f t="shared" si="35"/>
        <v>O3T003004_contribution</v>
      </c>
      <c r="S81" s="1" t="str">
        <f t="shared" si="35"/>
        <v>O3T004001_contribution</v>
      </c>
      <c r="T81" s="1" t="str">
        <f t="shared" si="35"/>
        <v>O3T004002_contribution</v>
      </c>
      <c r="U81" s="1" t="str">
        <f t="shared" si="35"/>
        <v>O3T004003_contribution</v>
      </c>
      <c r="V81" s="1" t="str">
        <f t="shared" si="35"/>
        <v>O3T004004_contribution</v>
      </c>
      <c r="W81" s="1" t="str">
        <f t="shared" si="35"/>
        <v>O3T005001_contribution</v>
      </c>
      <c r="X81" s="1" t="str">
        <f t="shared" si="35"/>
        <v>O3T005002_contribution</v>
      </c>
      <c r="Y81" s="1" t="str">
        <f t="shared" si="35"/>
        <v>O3T005003_contribution</v>
      </c>
      <c r="Z81" s="1" t="str">
        <f t="shared" si="35"/>
        <v>O3T005004_contribution</v>
      </c>
      <c r="AA81" s="1" t="str">
        <f t="shared" si="35"/>
        <v>O3T006001_contribution</v>
      </c>
      <c r="AB81" s="1" t="str">
        <f t="shared" si="35"/>
        <v>O3T006002_contribution</v>
      </c>
      <c r="AC81" s="1" t="str">
        <f t="shared" si="35"/>
        <v>O3T006003_contribution</v>
      </c>
      <c r="AD81" s="1" t="str">
        <f t="shared" si="35"/>
        <v>O3T006004_contribution</v>
      </c>
      <c r="AE81" s="1" t="str">
        <f t="shared" si="35"/>
        <v>O3T007001_contribution</v>
      </c>
      <c r="AF81" s="1" t="str">
        <f t="shared" si="35"/>
        <v>O3T007002_contribution</v>
      </c>
      <c r="AG81" s="1" t="str">
        <f t="shared" si="35"/>
        <v>O3T007003_contribution</v>
      </c>
      <c r="AH81" s="1" t="str">
        <f t="shared" si="35"/>
        <v>O3T007004_contribution</v>
      </c>
      <c r="AI81" s="1" t="str">
        <f t="shared" si="35"/>
        <v>O3T008001_contribution</v>
      </c>
      <c r="AJ81" s="1" t="str">
        <f t="shared" si="35"/>
        <v>O3T008002_contribution</v>
      </c>
      <c r="AK81" s="1" t="str">
        <f t="shared" si="35"/>
        <v>O3T008003_contribution</v>
      </c>
      <c r="AL81" s="1" t="str">
        <f t="shared" si="35"/>
        <v>O3T008004_contribution</v>
      </c>
      <c r="AM81" s="1" t="s">
        <v>187</v>
      </c>
      <c r="AN81" s="68" t="s">
        <v>203</v>
      </c>
      <c r="AO81" s="68" t="s">
        <v>201</v>
      </c>
      <c r="AP81" s="68" t="s">
        <v>205</v>
      </c>
    </row>
    <row r="82" spans="1:42" x14ac:dyDescent="0.25">
      <c r="A82">
        <v>350130008</v>
      </c>
      <c r="B82">
        <v>31.930555999999999</v>
      </c>
      <c r="C82">
        <v>-106.630556</v>
      </c>
      <c r="D82" t="s">
        <v>50</v>
      </c>
      <c r="E82" t="s">
        <v>51</v>
      </c>
      <c r="G82">
        <f t="shared" ref="G82:AM82" si="36">$F63-G63</f>
        <v>0.375</v>
      </c>
      <c r="H82">
        <f t="shared" si="36"/>
        <v>0.66599999999999682</v>
      </c>
      <c r="I82">
        <f t="shared" si="36"/>
        <v>1.2804000000000002</v>
      </c>
      <c r="J82">
        <f t="shared" si="36"/>
        <v>5.8199999999999363E-2</v>
      </c>
      <c r="K82">
        <f t="shared" si="36"/>
        <v>9.7000000000001307E-2</v>
      </c>
      <c r="L82">
        <f t="shared" si="36"/>
        <v>1.290000000000191E-2</v>
      </c>
      <c r="M82">
        <f t="shared" si="36"/>
        <v>6.3999999999992951E-3</v>
      </c>
      <c r="N82">
        <f t="shared" si="36"/>
        <v>6.3999999999992951E-3</v>
      </c>
      <c r="O82">
        <f t="shared" si="36"/>
        <v>0.42029999999999745</v>
      </c>
      <c r="P82">
        <f t="shared" si="36"/>
        <v>1.8624000000000009</v>
      </c>
      <c r="Q82">
        <f t="shared" si="36"/>
        <v>1.1833999999999989</v>
      </c>
      <c r="R82">
        <f t="shared" si="36"/>
        <v>6.4599999999998658E-2</v>
      </c>
      <c r="S82">
        <f t="shared" si="36"/>
        <v>0.24569999999999936</v>
      </c>
      <c r="T82">
        <f t="shared" si="36"/>
        <v>0.69839999999999947</v>
      </c>
      <c r="U82">
        <f t="shared" si="36"/>
        <v>1.0281999999999982</v>
      </c>
      <c r="V82">
        <f t="shared" si="36"/>
        <v>4.5200000000001239E-2</v>
      </c>
      <c r="W82">
        <f t="shared" si="36"/>
        <v>0.27799999999999869</v>
      </c>
      <c r="X82">
        <f t="shared" si="36"/>
        <v>1.0476000000000028</v>
      </c>
      <c r="Y82">
        <f t="shared" si="36"/>
        <v>0</v>
      </c>
      <c r="Z82">
        <f t="shared" si="36"/>
        <v>1.290000000000191E-2</v>
      </c>
      <c r="AA82">
        <f t="shared" si="36"/>
        <v>3.8800000000001944E-2</v>
      </c>
      <c r="AB82">
        <f t="shared" si="36"/>
        <v>6.4599999999998658E-2</v>
      </c>
      <c r="AC82">
        <f t="shared" si="36"/>
        <v>1.519599999999997</v>
      </c>
      <c r="AD82">
        <f t="shared" si="36"/>
        <v>5.8199999999999363E-2</v>
      </c>
      <c r="AE82">
        <f t="shared" si="36"/>
        <v>1.9399999999997419E-2</v>
      </c>
      <c r="AF82">
        <f t="shared" si="36"/>
        <v>0.62720000000000198</v>
      </c>
      <c r="AG82">
        <f t="shared" si="36"/>
        <v>1.3774000000000015</v>
      </c>
      <c r="AH82">
        <f t="shared" si="36"/>
        <v>1.290000000000191E-2</v>
      </c>
      <c r="AI82">
        <f t="shared" si="36"/>
        <v>5.8199999999999363E-2</v>
      </c>
      <c r="AJ82">
        <f t="shared" si="36"/>
        <v>0.20689999999999742</v>
      </c>
      <c r="AK82">
        <f t="shared" si="36"/>
        <v>3.8800000000001944E-2</v>
      </c>
      <c r="AL82">
        <f t="shared" si="36"/>
        <v>6.3999999999992951E-3</v>
      </c>
      <c r="AM82">
        <f t="shared" si="36"/>
        <v>44.742800000000003</v>
      </c>
      <c r="AN82" s="70">
        <f>SUM(G82:AM82)</f>
        <v>58.160199999999996</v>
      </c>
      <c r="AO82" s="70">
        <v>58.3</v>
      </c>
      <c r="AP82" s="70">
        <f>AO82/AN82</f>
        <v>1.002403705626872</v>
      </c>
    </row>
    <row r="83" spans="1:42" x14ac:dyDescent="0.25">
      <c r="A83">
        <v>350130017</v>
      </c>
      <c r="B83">
        <v>31.795832999999998</v>
      </c>
      <c r="C83">
        <v>-106.5575</v>
      </c>
      <c r="D83" t="s">
        <v>50</v>
      </c>
      <c r="E83" t="s">
        <v>51</v>
      </c>
      <c r="G83">
        <f t="shared" ref="G83:AM83" si="37">$F64-G64</f>
        <v>0.39330000000000354</v>
      </c>
      <c r="H83">
        <f t="shared" si="37"/>
        <v>0.63330000000000553</v>
      </c>
      <c r="I83">
        <f t="shared" si="37"/>
        <v>1.3666000000000054</v>
      </c>
      <c r="J83">
        <f t="shared" si="37"/>
        <v>7.3300000000003251E-2</v>
      </c>
      <c r="K83">
        <f t="shared" si="37"/>
        <v>3.3300000000004104E-2</v>
      </c>
      <c r="L83">
        <f t="shared" si="37"/>
        <v>6.599999999998829E-3</v>
      </c>
      <c r="M83">
        <f t="shared" si="37"/>
        <v>0</v>
      </c>
      <c r="N83">
        <f t="shared" si="37"/>
        <v>4.6600000000005082E-2</v>
      </c>
      <c r="O83">
        <f t="shared" si="37"/>
        <v>0.42660000000000053</v>
      </c>
      <c r="P83">
        <f t="shared" si="37"/>
        <v>1.513300000000001</v>
      </c>
      <c r="Q83">
        <f t="shared" si="37"/>
        <v>1.6266000000000034</v>
      </c>
      <c r="R83">
        <f t="shared" si="37"/>
        <v>7.3300000000003251E-2</v>
      </c>
      <c r="S83">
        <f t="shared" si="37"/>
        <v>0.25330000000000297</v>
      </c>
      <c r="T83">
        <f t="shared" si="37"/>
        <v>0.63330000000000553</v>
      </c>
      <c r="U83">
        <f t="shared" si="37"/>
        <v>1.1799999999999997</v>
      </c>
      <c r="V83">
        <f t="shared" si="37"/>
        <v>5.3300000000000125E-2</v>
      </c>
      <c r="W83">
        <f t="shared" si="37"/>
        <v>0.28000000000000114</v>
      </c>
      <c r="X83">
        <f t="shared" si="37"/>
        <v>0.88000000000000256</v>
      </c>
      <c r="Y83">
        <f t="shared" si="37"/>
        <v>0</v>
      </c>
      <c r="Z83">
        <f t="shared" si="37"/>
        <v>2.0000000000003126E-2</v>
      </c>
      <c r="AA83">
        <f t="shared" si="37"/>
        <v>8.6600000000004229E-2</v>
      </c>
      <c r="AB83">
        <f t="shared" si="37"/>
        <v>5.3300000000000125E-2</v>
      </c>
      <c r="AC83">
        <f t="shared" si="37"/>
        <v>1.8200000000000003</v>
      </c>
      <c r="AD83">
        <f t="shared" si="37"/>
        <v>8.6600000000004229E-2</v>
      </c>
      <c r="AE83">
        <f t="shared" si="37"/>
        <v>2.0000000000003126E-2</v>
      </c>
      <c r="AF83">
        <f t="shared" si="37"/>
        <v>0.70000000000000284</v>
      </c>
      <c r="AG83">
        <f t="shared" si="37"/>
        <v>1.9066000000000045</v>
      </c>
      <c r="AH83">
        <f t="shared" si="37"/>
        <v>2.0000000000003126E-2</v>
      </c>
      <c r="AI83">
        <f t="shared" si="37"/>
        <v>4.6600000000005082E-2</v>
      </c>
      <c r="AJ83">
        <f t="shared" si="37"/>
        <v>0.2266000000000048</v>
      </c>
      <c r="AK83">
        <f t="shared" si="37"/>
        <v>8.00000000000054E-2</v>
      </c>
      <c r="AL83">
        <f t="shared" si="37"/>
        <v>6.599999999998829E-3</v>
      </c>
      <c r="AM83">
        <f t="shared" si="37"/>
        <v>46.513300000000001</v>
      </c>
      <c r="AN83" s="70">
        <f t="shared" ref="AN83:AN98" si="38">SUM(G83:AM83)</f>
        <v>61.058900000000087</v>
      </c>
      <c r="AO83" s="70">
        <v>61.3</v>
      </c>
      <c r="AP83" s="70">
        <f t="shared" ref="AP83:AP98" si="39">AO83/AN83</f>
        <v>1.0039486463070888</v>
      </c>
    </row>
    <row r="84" spans="1:42" x14ac:dyDescent="0.25">
      <c r="A84">
        <v>350130019</v>
      </c>
      <c r="B84">
        <v>32.424722000000003</v>
      </c>
      <c r="C84">
        <v>-106.674167</v>
      </c>
      <c r="D84" t="s">
        <v>50</v>
      </c>
      <c r="E84" t="s">
        <v>51</v>
      </c>
      <c r="G84" t="s">
        <v>62</v>
      </c>
      <c r="H84" t="s">
        <v>62</v>
      </c>
      <c r="I84" t="s">
        <v>62</v>
      </c>
      <c r="J84" t="s">
        <v>62</v>
      </c>
      <c r="K84" t="s">
        <v>62</v>
      </c>
      <c r="L84" t="s">
        <v>62</v>
      </c>
      <c r="M84" t="s">
        <v>62</v>
      </c>
      <c r="N84" t="s">
        <v>62</v>
      </c>
      <c r="O84" t="s">
        <v>62</v>
      </c>
      <c r="P84" t="s">
        <v>62</v>
      </c>
      <c r="Q84" t="s">
        <v>62</v>
      </c>
      <c r="R84" t="s">
        <v>62</v>
      </c>
      <c r="S84" t="s">
        <v>62</v>
      </c>
      <c r="T84" t="s">
        <v>62</v>
      </c>
      <c r="U84" t="s">
        <v>62</v>
      </c>
      <c r="V84" t="s">
        <v>62</v>
      </c>
      <c r="W84" t="s">
        <v>62</v>
      </c>
      <c r="X84" t="s">
        <v>62</v>
      </c>
      <c r="Y84" t="s">
        <v>62</v>
      </c>
      <c r="Z84" t="s">
        <v>62</v>
      </c>
      <c r="AA84" t="s">
        <v>62</v>
      </c>
      <c r="AB84" t="s">
        <v>62</v>
      </c>
      <c r="AC84" t="s">
        <v>62</v>
      </c>
      <c r="AD84" t="s">
        <v>62</v>
      </c>
      <c r="AE84" t="s">
        <v>62</v>
      </c>
      <c r="AF84" t="s">
        <v>62</v>
      </c>
      <c r="AG84" t="s">
        <v>62</v>
      </c>
      <c r="AH84" t="s">
        <v>62</v>
      </c>
      <c r="AI84" t="s">
        <v>62</v>
      </c>
      <c r="AJ84" t="s">
        <v>62</v>
      </c>
      <c r="AK84" t="s">
        <v>62</v>
      </c>
      <c r="AL84" t="s">
        <v>62</v>
      </c>
      <c r="AM84" t="s">
        <v>62</v>
      </c>
      <c r="AN84" s="70" t="s">
        <v>62</v>
      </c>
      <c r="AO84" s="70" t="s">
        <v>62</v>
      </c>
      <c r="AP84" s="70" t="s">
        <v>62</v>
      </c>
    </row>
    <row r="85" spans="1:42" x14ac:dyDescent="0.25">
      <c r="A85">
        <v>350130020</v>
      </c>
      <c r="B85">
        <v>32.041111000000001</v>
      </c>
      <c r="C85">
        <v>-106.409167</v>
      </c>
      <c r="D85" t="s">
        <v>50</v>
      </c>
      <c r="E85" t="s">
        <v>51</v>
      </c>
      <c r="G85">
        <f t="shared" ref="G85:AM85" si="40">$F66-G66</f>
        <v>0.45340000000000202</v>
      </c>
      <c r="H85">
        <f t="shared" si="40"/>
        <v>0.61580000000000013</v>
      </c>
      <c r="I85">
        <f t="shared" si="40"/>
        <v>1.3804000000000016</v>
      </c>
      <c r="J85">
        <f t="shared" si="40"/>
        <v>0.15559999999999974</v>
      </c>
      <c r="K85">
        <f t="shared" si="40"/>
        <v>7.4399999999997135E-2</v>
      </c>
      <c r="L85">
        <f t="shared" si="40"/>
        <v>1.3500000000000512E-2</v>
      </c>
      <c r="M85">
        <f t="shared" si="40"/>
        <v>6.7999999999983629E-3</v>
      </c>
      <c r="N85">
        <f t="shared" si="40"/>
        <v>3.3799999999999386E-2</v>
      </c>
      <c r="O85">
        <f t="shared" si="40"/>
        <v>0.50070000000000192</v>
      </c>
      <c r="P85">
        <f t="shared" si="40"/>
        <v>1.7119999999999962</v>
      </c>
      <c r="Q85">
        <f t="shared" si="40"/>
        <v>1.0150000000000006</v>
      </c>
      <c r="R85">
        <f t="shared" si="40"/>
        <v>0.19619999999999749</v>
      </c>
      <c r="S85">
        <f t="shared" si="40"/>
        <v>0.26389999999999958</v>
      </c>
      <c r="T85">
        <f t="shared" si="40"/>
        <v>0.79169999999999874</v>
      </c>
      <c r="U85">
        <f t="shared" si="40"/>
        <v>1.0893999999999977</v>
      </c>
      <c r="V85">
        <f t="shared" si="40"/>
        <v>0.13530000000000086</v>
      </c>
      <c r="W85">
        <f t="shared" si="40"/>
        <v>0.20299999999999585</v>
      </c>
      <c r="X85">
        <f t="shared" si="40"/>
        <v>0.75110000000000099</v>
      </c>
      <c r="Y85">
        <f t="shared" si="40"/>
        <v>0</v>
      </c>
      <c r="Z85">
        <f t="shared" si="40"/>
        <v>1.3500000000000512E-2</v>
      </c>
      <c r="AA85">
        <f t="shared" si="40"/>
        <v>4.0599999999997749E-2</v>
      </c>
      <c r="AB85">
        <f t="shared" si="40"/>
        <v>0.14889999999999759</v>
      </c>
      <c r="AC85">
        <f t="shared" si="40"/>
        <v>0.94729999999999848</v>
      </c>
      <c r="AD85">
        <f t="shared" si="40"/>
        <v>0.14889999999999759</v>
      </c>
      <c r="AE85">
        <f t="shared" si="40"/>
        <v>2.0299999999998875E-2</v>
      </c>
      <c r="AF85">
        <f t="shared" si="40"/>
        <v>0.7984999999999971</v>
      </c>
      <c r="AG85">
        <f t="shared" si="40"/>
        <v>1.0082000000000022</v>
      </c>
      <c r="AH85">
        <f t="shared" si="40"/>
        <v>4.7399999999996112E-2</v>
      </c>
      <c r="AI85">
        <f t="shared" si="40"/>
        <v>4.0599999999997749E-2</v>
      </c>
      <c r="AJ85">
        <f t="shared" si="40"/>
        <v>0.23010000000000019</v>
      </c>
      <c r="AK85">
        <f t="shared" si="40"/>
        <v>3.3799999999999386E-2</v>
      </c>
      <c r="AL85">
        <f t="shared" si="40"/>
        <v>2.7099999999997237E-2</v>
      </c>
      <c r="AM85">
        <f t="shared" si="40"/>
        <v>47.677900000000001</v>
      </c>
      <c r="AN85" s="70">
        <f t="shared" si="38"/>
        <v>60.575099999999971</v>
      </c>
      <c r="AO85" s="70">
        <v>60.8</v>
      </c>
      <c r="AP85" s="70">
        <f t="shared" si="39"/>
        <v>1.00371274665663</v>
      </c>
    </row>
    <row r="86" spans="1:42" x14ac:dyDescent="0.25">
      <c r="A86">
        <v>350130021</v>
      </c>
      <c r="B86">
        <v>31.796111</v>
      </c>
      <c r="C86">
        <v>-106.583889</v>
      </c>
      <c r="D86" t="s">
        <v>50</v>
      </c>
      <c r="E86" t="s">
        <v>51</v>
      </c>
      <c r="G86">
        <f t="shared" ref="G86:AM86" si="41">$F67-G67</f>
        <v>0.39770000000000039</v>
      </c>
      <c r="H86">
        <f t="shared" si="41"/>
        <v>0.68880000000000052</v>
      </c>
      <c r="I86">
        <f t="shared" si="41"/>
        <v>1.285100000000007</v>
      </c>
      <c r="J86">
        <f t="shared" si="41"/>
        <v>7.0999999999997954E-2</v>
      </c>
      <c r="K86">
        <f t="shared" si="41"/>
        <v>2.8500000000008185E-2</v>
      </c>
      <c r="L86">
        <f t="shared" si="41"/>
        <v>0</v>
      </c>
      <c r="M86">
        <f t="shared" si="41"/>
        <v>0</v>
      </c>
      <c r="N86">
        <f t="shared" si="41"/>
        <v>4.2700000000010618E-2</v>
      </c>
      <c r="O86">
        <f t="shared" si="41"/>
        <v>0.48279999999999745</v>
      </c>
      <c r="P86">
        <f t="shared" si="41"/>
        <v>1.6330000000000027</v>
      </c>
      <c r="Q86">
        <f t="shared" si="41"/>
        <v>1.4769000000000005</v>
      </c>
      <c r="R86">
        <f t="shared" si="41"/>
        <v>7.8200000000009595E-2</v>
      </c>
      <c r="S86">
        <f t="shared" si="41"/>
        <v>0.2768999999999977</v>
      </c>
      <c r="T86">
        <f t="shared" si="41"/>
        <v>0.65319999999999823</v>
      </c>
      <c r="U86">
        <f t="shared" si="41"/>
        <v>1.1006</v>
      </c>
      <c r="V86">
        <f t="shared" si="41"/>
        <v>4.970000000000141E-2</v>
      </c>
      <c r="W86">
        <f t="shared" si="41"/>
        <v>0.26279999999999859</v>
      </c>
      <c r="X86">
        <f t="shared" si="41"/>
        <v>1.1146999999999991</v>
      </c>
      <c r="Y86">
        <f t="shared" si="41"/>
        <v>0</v>
      </c>
      <c r="Z86">
        <f t="shared" si="41"/>
        <v>1.4200000000002433E-2</v>
      </c>
      <c r="AA86">
        <f t="shared" si="41"/>
        <v>9.2399999999997817E-2</v>
      </c>
      <c r="AB86">
        <f t="shared" si="41"/>
        <v>5.689999999999884E-2</v>
      </c>
      <c r="AC86">
        <f t="shared" si="41"/>
        <v>2.1656000000000049</v>
      </c>
      <c r="AD86">
        <f t="shared" si="41"/>
        <v>9.2399999999997817E-2</v>
      </c>
      <c r="AE86">
        <f t="shared" si="41"/>
        <v>2.1399999999999864E-2</v>
      </c>
      <c r="AF86">
        <f t="shared" si="41"/>
        <v>0.65319999999999823</v>
      </c>
      <c r="AG86">
        <f t="shared" si="41"/>
        <v>1.6970000000000027</v>
      </c>
      <c r="AH86">
        <f t="shared" si="41"/>
        <v>2.1399999999999864E-2</v>
      </c>
      <c r="AI86">
        <f t="shared" si="41"/>
        <v>4.970000000000141E-2</v>
      </c>
      <c r="AJ86">
        <f t="shared" si="41"/>
        <v>0.22010000000000218</v>
      </c>
      <c r="AK86">
        <f t="shared" si="41"/>
        <v>7.0999999999997954E-2</v>
      </c>
      <c r="AL86">
        <f t="shared" si="41"/>
        <v>7.1000000000083219E-3</v>
      </c>
      <c r="AM86">
        <f t="shared" si="41"/>
        <v>50.147400000000005</v>
      </c>
      <c r="AN86" s="70">
        <f t="shared" si="38"/>
        <v>64.95240000000004</v>
      </c>
      <c r="AO86" s="70">
        <v>65.099999999999994</v>
      </c>
      <c r="AP86" s="70">
        <f t="shared" si="39"/>
        <v>1.0022724333511919</v>
      </c>
    </row>
    <row r="87" spans="1:42" x14ac:dyDescent="0.25">
      <c r="A87">
        <v>350130022</v>
      </c>
      <c r="B87">
        <v>31.787777999999999</v>
      </c>
      <c r="C87">
        <v>-106.682778</v>
      </c>
      <c r="D87" t="s">
        <v>50</v>
      </c>
      <c r="E87" t="s">
        <v>51</v>
      </c>
      <c r="G87">
        <f t="shared" ref="G87:AM87" si="42">$F68-G68</f>
        <v>0.40789999999999793</v>
      </c>
      <c r="H87">
        <f t="shared" si="42"/>
        <v>0.73850000000000193</v>
      </c>
      <c r="I87">
        <f t="shared" si="42"/>
        <v>0.84400000000000119</v>
      </c>
      <c r="J87">
        <f t="shared" si="42"/>
        <v>6.3299999999998136E-2</v>
      </c>
      <c r="K87">
        <f t="shared" si="42"/>
        <v>2.8100000000002012E-2</v>
      </c>
      <c r="L87">
        <f t="shared" si="42"/>
        <v>6.9999999999978968E-3</v>
      </c>
      <c r="M87">
        <f t="shared" si="42"/>
        <v>0</v>
      </c>
      <c r="N87">
        <f t="shared" si="42"/>
        <v>3.5199999999996123E-2</v>
      </c>
      <c r="O87">
        <f t="shared" si="42"/>
        <v>0.52749999999999631</v>
      </c>
      <c r="P87">
        <f t="shared" si="42"/>
        <v>1.6246999999999971</v>
      </c>
      <c r="Q87">
        <f t="shared" si="42"/>
        <v>1.0409000000000006</v>
      </c>
      <c r="R87">
        <f t="shared" si="42"/>
        <v>7.0299999999996032E-2</v>
      </c>
      <c r="S87">
        <f t="shared" si="42"/>
        <v>0.29540000000000077</v>
      </c>
      <c r="T87">
        <f t="shared" si="42"/>
        <v>0.66109999999999758</v>
      </c>
      <c r="U87">
        <f t="shared" si="42"/>
        <v>0.64710000000000178</v>
      </c>
      <c r="V87">
        <f t="shared" si="42"/>
        <v>4.9199999999999022E-2</v>
      </c>
      <c r="W87">
        <f t="shared" si="42"/>
        <v>0.27429999999999666</v>
      </c>
      <c r="X87">
        <f t="shared" si="42"/>
        <v>1.5754999999999981</v>
      </c>
      <c r="Y87">
        <f t="shared" si="42"/>
        <v>0</v>
      </c>
      <c r="Z87">
        <f t="shared" si="42"/>
        <v>6.9999999999978968E-3</v>
      </c>
      <c r="AA87">
        <f t="shared" si="42"/>
        <v>9.1400000000000148E-2</v>
      </c>
      <c r="AB87">
        <f t="shared" si="42"/>
        <v>7.7399999999997249E-2</v>
      </c>
      <c r="AC87">
        <f t="shared" si="42"/>
        <v>2.0467000000000013</v>
      </c>
      <c r="AD87">
        <f t="shared" si="42"/>
        <v>9.1400000000000148E-2</v>
      </c>
      <c r="AE87">
        <f t="shared" si="42"/>
        <v>2.109999999999701E-2</v>
      </c>
      <c r="AF87">
        <f t="shared" si="42"/>
        <v>0.64000000000000057</v>
      </c>
      <c r="AG87">
        <f t="shared" si="42"/>
        <v>0.75260000000000105</v>
      </c>
      <c r="AH87">
        <f t="shared" si="42"/>
        <v>1.4099999999999113E-2</v>
      </c>
      <c r="AI87">
        <f t="shared" si="42"/>
        <v>5.6300000000000239E-2</v>
      </c>
      <c r="AJ87">
        <f t="shared" si="42"/>
        <v>0.18990000000000151</v>
      </c>
      <c r="AK87">
        <f t="shared" si="42"/>
        <v>4.2200000000001125E-2</v>
      </c>
      <c r="AL87">
        <f t="shared" si="42"/>
        <v>6.9999999999978968E-3</v>
      </c>
      <c r="AM87">
        <f t="shared" si="42"/>
        <v>50.407899999999998</v>
      </c>
      <c r="AN87" s="70">
        <f t="shared" si="38"/>
        <v>63.334999999999972</v>
      </c>
      <c r="AO87" s="70">
        <v>63.8</v>
      </c>
      <c r="AP87" s="70">
        <f t="shared" si="39"/>
        <v>1.0073419120549463</v>
      </c>
    </row>
    <row r="88" spans="1:42" x14ac:dyDescent="0.25">
      <c r="A88">
        <v>350130023</v>
      </c>
      <c r="B88">
        <v>32.317500000000003</v>
      </c>
      <c r="C88">
        <v>-106.76777800000001</v>
      </c>
      <c r="D88" t="s">
        <v>50</v>
      </c>
      <c r="E88" t="s">
        <v>51</v>
      </c>
      <c r="G88">
        <f t="shared" ref="G88:AM88" si="43">$F69-G69</f>
        <v>0.66910000000000025</v>
      </c>
      <c r="H88">
        <f t="shared" si="43"/>
        <v>0.60470000000000113</v>
      </c>
      <c r="I88">
        <f t="shared" si="43"/>
        <v>0.9328000000000003</v>
      </c>
      <c r="J88">
        <f t="shared" si="43"/>
        <v>0.10289999999999822</v>
      </c>
      <c r="K88">
        <f t="shared" si="43"/>
        <v>0.12219999999999942</v>
      </c>
      <c r="L88">
        <f t="shared" si="43"/>
        <v>0</v>
      </c>
      <c r="M88">
        <f t="shared" si="43"/>
        <v>0</v>
      </c>
      <c r="N88">
        <f t="shared" si="43"/>
        <v>6.3999999999992951E-3</v>
      </c>
      <c r="O88">
        <f t="shared" si="43"/>
        <v>1.6019000000000005</v>
      </c>
      <c r="P88">
        <f t="shared" si="43"/>
        <v>0.49539999999999651</v>
      </c>
      <c r="Q88">
        <f t="shared" si="43"/>
        <v>0.37959999999999638</v>
      </c>
      <c r="R88">
        <f t="shared" si="43"/>
        <v>0.14150000000000063</v>
      </c>
      <c r="S88">
        <f t="shared" si="43"/>
        <v>0.76559999999999917</v>
      </c>
      <c r="T88">
        <f t="shared" si="43"/>
        <v>0.26379999999999626</v>
      </c>
      <c r="U88">
        <f t="shared" si="43"/>
        <v>0.55969999999999942</v>
      </c>
      <c r="V88">
        <f t="shared" si="43"/>
        <v>0.10289999999999822</v>
      </c>
      <c r="W88">
        <f t="shared" si="43"/>
        <v>0.28309999999999746</v>
      </c>
      <c r="X88">
        <f t="shared" si="43"/>
        <v>0.94570000000000221</v>
      </c>
      <c r="Y88">
        <f t="shared" si="43"/>
        <v>0</v>
      </c>
      <c r="Z88">
        <f t="shared" si="43"/>
        <v>1.290000000000191E-2</v>
      </c>
      <c r="AA88">
        <f t="shared" si="43"/>
        <v>0.12870000000000203</v>
      </c>
      <c r="AB88">
        <f t="shared" si="43"/>
        <v>3.8599999999995305E-2</v>
      </c>
      <c r="AC88">
        <f t="shared" si="43"/>
        <v>1.0679000000000016</v>
      </c>
      <c r="AD88">
        <f t="shared" si="43"/>
        <v>0.14150000000000063</v>
      </c>
      <c r="AE88">
        <f t="shared" si="43"/>
        <v>0.10940000000000083</v>
      </c>
      <c r="AF88">
        <f t="shared" si="43"/>
        <v>0.18659999999999854</v>
      </c>
      <c r="AG88">
        <f t="shared" si="43"/>
        <v>0.39240000000000208</v>
      </c>
      <c r="AH88">
        <f t="shared" si="43"/>
        <v>3.8599999999995305E-2</v>
      </c>
      <c r="AI88">
        <f t="shared" si="43"/>
        <v>0.15439999999999543</v>
      </c>
      <c r="AJ88">
        <f t="shared" si="43"/>
        <v>4.5000000000001705E-2</v>
      </c>
      <c r="AK88">
        <f t="shared" si="43"/>
        <v>6.3999999999992951E-3</v>
      </c>
      <c r="AL88">
        <f t="shared" si="43"/>
        <v>2.57000000000005E-2</v>
      </c>
      <c r="AM88">
        <f t="shared" si="43"/>
        <v>48.423699999999997</v>
      </c>
      <c r="AN88" s="70">
        <f t="shared" si="38"/>
        <v>58.749099999999977</v>
      </c>
      <c r="AO88" s="70">
        <v>58.7</v>
      </c>
      <c r="AP88" s="70">
        <f t="shared" si="39"/>
        <v>0.99916424251605596</v>
      </c>
    </row>
    <row r="89" spans="1:42" x14ac:dyDescent="0.25">
      <c r="A89">
        <v>350131012</v>
      </c>
      <c r="B89">
        <v>32.281388999999997</v>
      </c>
      <c r="C89">
        <v>-106.767222</v>
      </c>
      <c r="D89" t="s">
        <v>50</v>
      </c>
      <c r="E89" t="s">
        <v>51</v>
      </c>
      <c r="G89" t="s">
        <v>62</v>
      </c>
      <c r="H89" t="s">
        <v>62</v>
      </c>
      <c r="I89" t="s">
        <v>62</v>
      </c>
      <c r="J89" t="s">
        <v>62</v>
      </c>
      <c r="K89" t="s">
        <v>62</v>
      </c>
      <c r="L89" t="s">
        <v>62</v>
      </c>
      <c r="M89" t="s">
        <v>62</v>
      </c>
      <c r="N89" t="s">
        <v>62</v>
      </c>
      <c r="O89" t="s">
        <v>62</v>
      </c>
      <c r="P89" t="s">
        <v>62</v>
      </c>
      <c r="Q89" t="s">
        <v>62</v>
      </c>
      <c r="R89" t="s">
        <v>62</v>
      </c>
      <c r="S89" t="s">
        <v>62</v>
      </c>
      <c r="T89" t="s">
        <v>62</v>
      </c>
      <c r="U89" t="s">
        <v>62</v>
      </c>
      <c r="V89" t="s">
        <v>62</v>
      </c>
      <c r="W89" t="s">
        <v>62</v>
      </c>
      <c r="X89" t="s">
        <v>62</v>
      </c>
      <c r="Y89" t="s">
        <v>62</v>
      </c>
      <c r="Z89" t="s">
        <v>62</v>
      </c>
      <c r="AA89" t="s">
        <v>62</v>
      </c>
      <c r="AB89" t="s">
        <v>62</v>
      </c>
      <c r="AC89" t="s">
        <v>62</v>
      </c>
      <c r="AD89" t="s">
        <v>62</v>
      </c>
      <c r="AE89" t="s">
        <v>62</v>
      </c>
      <c r="AF89" t="s">
        <v>62</v>
      </c>
      <c r="AG89" t="s">
        <v>62</v>
      </c>
      <c r="AH89" t="s">
        <v>62</v>
      </c>
      <c r="AI89" t="s">
        <v>62</v>
      </c>
      <c r="AJ89" t="s">
        <v>62</v>
      </c>
      <c r="AK89" t="s">
        <v>62</v>
      </c>
      <c r="AL89" t="s">
        <v>62</v>
      </c>
      <c r="AM89" t="s">
        <v>62</v>
      </c>
      <c r="AN89" s="70" t="s">
        <v>62</v>
      </c>
      <c r="AO89" s="70" t="s">
        <v>62</v>
      </c>
      <c r="AP89" s="70" t="s">
        <v>62</v>
      </c>
    </row>
    <row r="90" spans="1:42" x14ac:dyDescent="0.25">
      <c r="A90">
        <v>350151005</v>
      </c>
      <c r="B90">
        <v>32.380000000000003</v>
      </c>
      <c r="C90">
        <v>-104.26222199999999</v>
      </c>
      <c r="D90" t="s">
        <v>50</v>
      </c>
      <c r="E90" t="s">
        <v>52</v>
      </c>
      <c r="G90">
        <f t="shared" ref="G90:AM90" si="44">$F71-G71</f>
        <v>0.27999999999998693</v>
      </c>
      <c r="H90">
        <f t="shared" si="44"/>
        <v>0.56689999999998975</v>
      </c>
      <c r="I90">
        <f t="shared" si="44"/>
        <v>0.60889999999999134</v>
      </c>
      <c r="J90">
        <f t="shared" si="44"/>
        <v>2.1000000000000796E-2</v>
      </c>
      <c r="K90">
        <f t="shared" si="44"/>
        <v>5.5999999999997385E-2</v>
      </c>
      <c r="L90">
        <f t="shared" si="44"/>
        <v>6.9999999999907914E-3</v>
      </c>
      <c r="M90">
        <f t="shared" si="44"/>
        <v>6.9999999999907914E-3</v>
      </c>
      <c r="N90">
        <f t="shared" si="44"/>
        <v>0.18889999999998963</v>
      </c>
      <c r="O90">
        <f t="shared" si="44"/>
        <v>0.19599999999999795</v>
      </c>
      <c r="P90">
        <f t="shared" si="44"/>
        <v>0.24489999999998702</v>
      </c>
      <c r="Q90">
        <f t="shared" si="44"/>
        <v>0.19599999999999795</v>
      </c>
      <c r="R90">
        <f t="shared" si="44"/>
        <v>3.489999999999327E-2</v>
      </c>
      <c r="S90">
        <f t="shared" si="44"/>
        <v>0.12599999999999056</v>
      </c>
      <c r="T90">
        <f t="shared" si="44"/>
        <v>0.20989999999999043</v>
      </c>
      <c r="U90">
        <f t="shared" si="44"/>
        <v>0.11189999999999145</v>
      </c>
      <c r="V90">
        <f t="shared" si="44"/>
        <v>2.1000000000000796E-2</v>
      </c>
      <c r="W90">
        <f t="shared" si="44"/>
        <v>2.2259999999999991</v>
      </c>
      <c r="X90">
        <f t="shared" si="44"/>
        <v>3.1849999999999881</v>
      </c>
      <c r="Y90">
        <f t="shared" si="44"/>
        <v>0</v>
      </c>
      <c r="Z90">
        <f t="shared" si="44"/>
        <v>6.2999999999988177E-2</v>
      </c>
      <c r="AA90">
        <f t="shared" si="44"/>
        <v>0.11189999999999145</v>
      </c>
      <c r="AB90">
        <f t="shared" si="44"/>
        <v>7.6999999999998181E-2</v>
      </c>
      <c r="AC90">
        <f t="shared" si="44"/>
        <v>1.7710000000000008</v>
      </c>
      <c r="AD90">
        <f t="shared" si="44"/>
        <v>4.8899999999989063E-2</v>
      </c>
      <c r="AE90">
        <f t="shared" si="44"/>
        <v>4.1999999999987381E-2</v>
      </c>
      <c r="AF90">
        <f t="shared" si="44"/>
        <v>6.9899999999989859E-2</v>
      </c>
      <c r="AG90">
        <f t="shared" si="44"/>
        <v>1.3899999999992474E-2</v>
      </c>
      <c r="AH90">
        <f t="shared" si="44"/>
        <v>1.3899999999992474E-2</v>
      </c>
      <c r="AI90">
        <f t="shared" si="44"/>
        <v>3.489999999999327E-2</v>
      </c>
      <c r="AJ90">
        <f t="shared" si="44"/>
        <v>6.9999999999907914E-3</v>
      </c>
      <c r="AK90">
        <f t="shared" si="44"/>
        <v>0</v>
      </c>
      <c r="AL90">
        <f t="shared" si="44"/>
        <v>6.9999999999907914E-3</v>
      </c>
      <c r="AM90">
        <f t="shared" si="44"/>
        <v>55.264899999999997</v>
      </c>
      <c r="AN90" s="70">
        <f t="shared" si="38"/>
        <v>65.812599999999776</v>
      </c>
      <c r="AO90" s="70">
        <v>67.8</v>
      </c>
      <c r="AP90" s="70">
        <f t="shared" si="39"/>
        <v>1.0301978648465526</v>
      </c>
    </row>
    <row r="91" spans="1:42" x14ac:dyDescent="0.25">
      <c r="A91">
        <v>350171003</v>
      </c>
      <c r="B91">
        <v>32.691943999999999</v>
      </c>
      <c r="C91">
        <v>-108.124444</v>
      </c>
      <c r="D91" t="s">
        <v>50</v>
      </c>
      <c r="E91" t="s">
        <v>53</v>
      </c>
      <c r="G91">
        <f t="shared" ref="G91:AM91" si="45">$F72-G72</f>
        <v>0.65650000000000119</v>
      </c>
      <c r="H91">
        <f t="shared" si="45"/>
        <v>0.31850000000000023</v>
      </c>
      <c r="I91">
        <f t="shared" si="45"/>
        <v>0.58500000000000085</v>
      </c>
      <c r="J91">
        <f t="shared" si="45"/>
        <v>0.17540000000000333</v>
      </c>
      <c r="K91">
        <f t="shared" si="45"/>
        <v>0.1103999999999985</v>
      </c>
      <c r="L91">
        <f t="shared" si="45"/>
        <v>6.5000000000026148E-3</v>
      </c>
      <c r="M91">
        <f t="shared" si="45"/>
        <v>2.5900000000000034E-2</v>
      </c>
      <c r="N91">
        <f t="shared" si="45"/>
        <v>2.5900000000000034E-2</v>
      </c>
      <c r="O91">
        <f t="shared" si="45"/>
        <v>0.55239999999999867</v>
      </c>
      <c r="P91">
        <f t="shared" si="45"/>
        <v>0.18840000000000146</v>
      </c>
      <c r="Q91">
        <f t="shared" si="45"/>
        <v>0.16890000000000072</v>
      </c>
      <c r="R91">
        <f t="shared" si="45"/>
        <v>0.363900000000001</v>
      </c>
      <c r="S91">
        <f t="shared" si="45"/>
        <v>0.40299999999999869</v>
      </c>
      <c r="T91">
        <f t="shared" si="45"/>
        <v>0.11700000000000443</v>
      </c>
      <c r="U91">
        <f t="shared" si="45"/>
        <v>0.40950000000000131</v>
      </c>
      <c r="V91">
        <f t="shared" si="45"/>
        <v>0.24040000000000106</v>
      </c>
      <c r="W91">
        <f t="shared" si="45"/>
        <v>0.30539999999999878</v>
      </c>
      <c r="X91">
        <f t="shared" si="45"/>
        <v>0.90350000000000108</v>
      </c>
      <c r="Y91">
        <f t="shared" si="45"/>
        <v>6.5000000000026148E-3</v>
      </c>
      <c r="Z91">
        <f t="shared" si="45"/>
        <v>3.2499999999998863E-2</v>
      </c>
      <c r="AA91">
        <f t="shared" si="45"/>
        <v>8.4499999999998465E-2</v>
      </c>
      <c r="AB91">
        <f t="shared" si="45"/>
        <v>2.5900000000000034E-2</v>
      </c>
      <c r="AC91">
        <f t="shared" si="45"/>
        <v>0.50690000000000168</v>
      </c>
      <c r="AD91">
        <f t="shared" si="45"/>
        <v>0.20139999999999958</v>
      </c>
      <c r="AE91">
        <f t="shared" si="45"/>
        <v>2.5900000000000034E-2</v>
      </c>
      <c r="AF91">
        <f t="shared" si="45"/>
        <v>7.1500000000000341E-2</v>
      </c>
      <c r="AG91">
        <f t="shared" si="45"/>
        <v>0.19500000000000028</v>
      </c>
      <c r="AH91">
        <f t="shared" si="45"/>
        <v>9.0900000000004866E-2</v>
      </c>
      <c r="AI91">
        <f t="shared" si="45"/>
        <v>3.8900000000005264E-2</v>
      </c>
      <c r="AJ91">
        <f t="shared" si="45"/>
        <v>1.300000000000523E-2</v>
      </c>
      <c r="AK91">
        <f t="shared" si="45"/>
        <v>6.5000000000026148E-3</v>
      </c>
      <c r="AL91">
        <f t="shared" si="45"/>
        <v>7.7899999999999636E-2</v>
      </c>
      <c r="AM91">
        <f t="shared" si="45"/>
        <v>53.676900000000003</v>
      </c>
      <c r="AN91" s="70">
        <f t="shared" si="38"/>
        <v>60.610700000000037</v>
      </c>
      <c r="AO91" s="70">
        <v>62</v>
      </c>
      <c r="AP91" s="70">
        <f t="shared" si="39"/>
        <v>1.0229216953442208</v>
      </c>
    </row>
    <row r="92" spans="1:42" x14ac:dyDescent="0.25">
      <c r="A92">
        <v>350290003</v>
      </c>
      <c r="B92">
        <v>32.255800000000001</v>
      </c>
      <c r="C92">
        <v>-107.7227</v>
      </c>
      <c r="D92" t="s">
        <v>50</v>
      </c>
      <c r="E92" t="s">
        <v>54</v>
      </c>
      <c r="G92">
        <f t="shared" ref="G92:AM92" si="46">$F73-G73</f>
        <v>0.49139999999999873</v>
      </c>
      <c r="H92">
        <f t="shared" si="46"/>
        <v>0.48499999999999943</v>
      </c>
      <c r="I92">
        <f t="shared" si="46"/>
        <v>0.53549999999999898</v>
      </c>
      <c r="J92">
        <f t="shared" si="46"/>
        <v>0.11339999999999861</v>
      </c>
      <c r="K92">
        <f t="shared" si="46"/>
        <v>0.10070000000000334</v>
      </c>
      <c r="L92">
        <f t="shared" si="46"/>
        <v>6.1999999999997613E-3</v>
      </c>
      <c r="M92">
        <f t="shared" si="46"/>
        <v>0</v>
      </c>
      <c r="N92">
        <f t="shared" si="46"/>
        <v>0.84420000000000073</v>
      </c>
      <c r="O92">
        <f t="shared" si="46"/>
        <v>0.78740000000000521</v>
      </c>
      <c r="P92">
        <f t="shared" si="46"/>
        <v>0.44730000000000558</v>
      </c>
      <c r="Q92">
        <f t="shared" si="46"/>
        <v>0.31490000000000151</v>
      </c>
      <c r="R92">
        <f t="shared" si="46"/>
        <v>0.21410000000000196</v>
      </c>
      <c r="S92">
        <f t="shared" si="46"/>
        <v>0.32750000000000057</v>
      </c>
      <c r="T92">
        <f t="shared" si="46"/>
        <v>0.24569999999999936</v>
      </c>
      <c r="U92">
        <f t="shared" si="46"/>
        <v>0.34649999999999892</v>
      </c>
      <c r="V92">
        <f t="shared" si="46"/>
        <v>0.14489999999999981</v>
      </c>
      <c r="W92">
        <f t="shared" si="46"/>
        <v>0.37800000000000011</v>
      </c>
      <c r="X92">
        <f t="shared" si="46"/>
        <v>1.5057000000000045</v>
      </c>
      <c r="Y92">
        <f t="shared" si="46"/>
        <v>0</v>
      </c>
      <c r="Z92">
        <f t="shared" si="46"/>
        <v>2.5100000000001899E-2</v>
      </c>
      <c r="AA92">
        <f t="shared" si="46"/>
        <v>0.11339999999999861</v>
      </c>
      <c r="AB92">
        <f t="shared" si="46"/>
        <v>6.3000000000002387E-2</v>
      </c>
      <c r="AC92">
        <f t="shared" si="46"/>
        <v>0.85040000000000049</v>
      </c>
      <c r="AD92">
        <f t="shared" si="46"/>
        <v>0.15749999999999886</v>
      </c>
      <c r="AE92">
        <f t="shared" si="46"/>
        <v>3.7700000000000955E-2</v>
      </c>
      <c r="AF92">
        <f t="shared" si="46"/>
        <v>0.176400000000001</v>
      </c>
      <c r="AG92">
        <f t="shared" si="46"/>
        <v>0.30870000000000175</v>
      </c>
      <c r="AH92">
        <f t="shared" si="46"/>
        <v>5.6699999999999307E-2</v>
      </c>
      <c r="AI92">
        <f t="shared" si="46"/>
        <v>5.6699999999999307E-2</v>
      </c>
      <c r="AJ92">
        <f t="shared" si="46"/>
        <v>3.7700000000000955E-2</v>
      </c>
      <c r="AK92">
        <f t="shared" si="46"/>
        <v>6.1999999999997613E-3</v>
      </c>
      <c r="AL92">
        <f t="shared" si="46"/>
        <v>3.1400000000004979E-2</v>
      </c>
      <c r="AM92">
        <f t="shared" si="46"/>
        <v>48.698900000000002</v>
      </c>
      <c r="AN92" s="70">
        <f t="shared" si="38"/>
        <v>57.908200000000029</v>
      </c>
      <c r="AO92" s="70">
        <v>58.6</v>
      </c>
      <c r="AP92" s="70">
        <f t="shared" si="39"/>
        <v>1.0119464946242496</v>
      </c>
    </row>
    <row r="93" spans="1:42" x14ac:dyDescent="0.25">
      <c r="A93">
        <v>481410029</v>
      </c>
      <c r="B93">
        <v>31.785768999999998</v>
      </c>
      <c r="C93">
        <v>-106.323578</v>
      </c>
      <c r="D93" t="s">
        <v>55</v>
      </c>
      <c r="E93" t="s">
        <v>56</v>
      </c>
      <c r="G93">
        <f t="shared" ref="G93:AM93" si="47">$F74-G74</f>
        <v>0.40299999999999869</v>
      </c>
      <c r="H93">
        <f t="shared" si="47"/>
        <v>0.68249999999999744</v>
      </c>
      <c r="I93">
        <f t="shared" si="47"/>
        <v>1.6184000000000012</v>
      </c>
      <c r="J93">
        <f t="shared" si="47"/>
        <v>0.12989999999999924</v>
      </c>
      <c r="K93">
        <f t="shared" si="47"/>
        <v>3.8899999999998158E-2</v>
      </c>
      <c r="L93">
        <f t="shared" si="47"/>
        <v>6.3999999999992951E-3</v>
      </c>
      <c r="M93">
        <f t="shared" si="47"/>
        <v>0</v>
      </c>
      <c r="N93">
        <f t="shared" si="47"/>
        <v>1.2999999999998124E-2</v>
      </c>
      <c r="O93">
        <f t="shared" si="47"/>
        <v>0.35099999999999909</v>
      </c>
      <c r="P93">
        <f t="shared" si="47"/>
        <v>2.3139000000000038</v>
      </c>
      <c r="Q93">
        <f t="shared" si="47"/>
        <v>1.6315000000000026</v>
      </c>
      <c r="R93">
        <f t="shared" si="47"/>
        <v>0.15599999999999881</v>
      </c>
      <c r="S93">
        <f t="shared" si="47"/>
        <v>0.2143999999999977</v>
      </c>
      <c r="T93">
        <f t="shared" si="47"/>
        <v>0.98149999999999693</v>
      </c>
      <c r="U93">
        <f t="shared" si="47"/>
        <v>1.3128999999999991</v>
      </c>
      <c r="V93">
        <f t="shared" si="47"/>
        <v>0.10390000000000299</v>
      </c>
      <c r="W93">
        <f t="shared" si="47"/>
        <v>0.2143999999999977</v>
      </c>
      <c r="X93">
        <f t="shared" si="47"/>
        <v>0.66949999999999932</v>
      </c>
      <c r="Y93">
        <f t="shared" si="47"/>
        <v>0</v>
      </c>
      <c r="Z93">
        <f t="shared" si="47"/>
        <v>1.2999999999998124E-2</v>
      </c>
      <c r="AA93">
        <f t="shared" si="47"/>
        <v>5.1999999999999602E-2</v>
      </c>
      <c r="AB93">
        <f t="shared" si="47"/>
        <v>7.7899999999999636E-2</v>
      </c>
      <c r="AC93">
        <f t="shared" si="47"/>
        <v>1.0009999999999977</v>
      </c>
      <c r="AD93">
        <f t="shared" si="47"/>
        <v>9.7400000000000375E-2</v>
      </c>
      <c r="AE93">
        <f t="shared" si="47"/>
        <v>1.9399999999997419E-2</v>
      </c>
      <c r="AF93">
        <f t="shared" si="47"/>
        <v>0.8644999999999996</v>
      </c>
      <c r="AG93">
        <f t="shared" si="47"/>
        <v>1.4429999999999978</v>
      </c>
      <c r="AH93">
        <f t="shared" si="47"/>
        <v>3.8899999999998158E-2</v>
      </c>
      <c r="AI93">
        <f t="shared" si="47"/>
        <v>3.2400000000002649E-2</v>
      </c>
      <c r="AJ93">
        <f t="shared" si="47"/>
        <v>0.41600000000000392</v>
      </c>
      <c r="AK93">
        <f t="shared" si="47"/>
        <v>4.5499999999996987E-2</v>
      </c>
      <c r="AL93">
        <f t="shared" si="47"/>
        <v>2.5900000000000034E-2</v>
      </c>
      <c r="AM93">
        <f t="shared" si="47"/>
        <v>43.491500000000002</v>
      </c>
      <c r="AN93" s="70">
        <f t="shared" si="38"/>
        <v>58.459499999999984</v>
      </c>
      <c r="AO93" s="70">
        <v>58.4</v>
      </c>
      <c r="AP93" s="70">
        <f t="shared" si="39"/>
        <v>0.9989822013530737</v>
      </c>
    </row>
    <row r="94" spans="1:42" x14ac:dyDescent="0.25">
      <c r="A94">
        <v>481410037</v>
      </c>
      <c r="B94">
        <v>31.768291000000001</v>
      </c>
      <c r="C94">
        <v>-106.50126</v>
      </c>
      <c r="D94" t="s">
        <v>55</v>
      </c>
      <c r="E94" t="s">
        <v>56</v>
      </c>
      <c r="G94">
        <f t="shared" ref="G94:AM94" si="48">$F75-G75</f>
        <v>0.44729999999999848</v>
      </c>
      <c r="H94">
        <f t="shared" si="48"/>
        <v>0.75250000000001194</v>
      </c>
      <c r="I94">
        <f t="shared" si="48"/>
        <v>1.5549000000000035</v>
      </c>
      <c r="J94">
        <f t="shared" si="48"/>
        <v>8.5200000000000387E-2</v>
      </c>
      <c r="K94">
        <f t="shared" si="48"/>
        <v>3.5400000000009868E-2</v>
      </c>
      <c r="L94">
        <f t="shared" si="48"/>
        <v>7.0000000000050022E-3</v>
      </c>
      <c r="M94">
        <f t="shared" si="48"/>
        <v>7.0000000000050022E-3</v>
      </c>
      <c r="N94">
        <f t="shared" si="48"/>
        <v>4.970000000000141E-2</v>
      </c>
      <c r="O94">
        <f t="shared" si="48"/>
        <v>0.42600000000000193</v>
      </c>
      <c r="P94">
        <f t="shared" si="48"/>
        <v>1.7323000000000022</v>
      </c>
      <c r="Q94">
        <f t="shared" si="48"/>
        <v>1.9099000000000075</v>
      </c>
      <c r="R94">
        <f t="shared" si="48"/>
        <v>8.5200000000000387E-2</v>
      </c>
      <c r="S94">
        <f t="shared" si="48"/>
        <v>0.26270000000000948</v>
      </c>
      <c r="T94">
        <f t="shared" si="48"/>
        <v>0.75970000000000937</v>
      </c>
      <c r="U94">
        <f t="shared" si="48"/>
        <v>1.3915000000000077</v>
      </c>
      <c r="V94">
        <f t="shared" si="48"/>
        <v>5.6800000000009732E-2</v>
      </c>
      <c r="W94">
        <f t="shared" si="48"/>
        <v>0.31240000000001089</v>
      </c>
      <c r="X94">
        <f t="shared" si="48"/>
        <v>1.0153000000000105</v>
      </c>
      <c r="Y94">
        <f t="shared" si="48"/>
        <v>0</v>
      </c>
      <c r="Z94">
        <f t="shared" si="48"/>
        <v>2.1300000000010755E-2</v>
      </c>
      <c r="AA94">
        <f t="shared" si="48"/>
        <v>9.2300000000008708E-2</v>
      </c>
      <c r="AB94">
        <f t="shared" si="48"/>
        <v>7.1000000000012164E-2</v>
      </c>
      <c r="AC94">
        <f t="shared" si="48"/>
        <v>1.583200000000005</v>
      </c>
      <c r="AD94">
        <f t="shared" si="48"/>
        <v>9.92999999999995E-2</v>
      </c>
      <c r="AE94">
        <f t="shared" si="48"/>
        <v>2.1300000000010755E-2</v>
      </c>
      <c r="AF94">
        <f t="shared" si="48"/>
        <v>0.99399999999999977</v>
      </c>
      <c r="AG94">
        <f t="shared" si="48"/>
        <v>2.0376000000000047</v>
      </c>
      <c r="AH94">
        <f t="shared" si="48"/>
        <v>2.1300000000010755E-2</v>
      </c>
      <c r="AI94">
        <f t="shared" si="48"/>
        <v>4.2500000000003979E-2</v>
      </c>
      <c r="AJ94">
        <f t="shared" si="48"/>
        <v>0.28390000000000271</v>
      </c>
      <c r="AK94">
        <f t="shared" si="48"/>
        <v>9.92999999999995E-2</v>
      </c>
      <c r="AL94">
        <f t="shared" si="48"/>
        <v>1.4099999999999113E-2</v>
      </c>
      <c r="AM94">
        <f t="shared" si="48"/>
        <v>48.826700000000002</v>
      </c>
      <c r="AN94" s="70">
        <f t="shared" si="38"/>
        <v>65.098600000000175</v>
      </c>
      <c r="AO94" s="70">
        <v>65.2</v>
      </c>
      <c r="AP94" s="70">
        <f t="shared" si="39"/>
        <v>1.0015576371842072</v>
      </c>
    </row>
    <row r="95" spans="1:42" x14ac:dyDescent="0.25">
      <c r="A95">
        <v>481410044</v>
      </c>
      <c r="B95">
        <v>31.765685000000001</v>
      </c>
      <c r="C95">
        <v>-106.45522699999999</v>
      </c>
      <c r="D95" t="s">
        <v>55</v>
      </c>
      <c r="E95" t="s">
        <v>56</v>
      </c>
      <c r="G95">
        <f t="shared" ref="G95:AM95" si="49">$F76-G76</f>
        <v>0.54520000000000124</v>
      </c>
      <c r="H95">
        <f t="shared" si="49"/>
        <v>0.71760000000000446</v>
      </c>
      <c r="I95">
        <f t="shared" si="49"/>
        <v>1.6492000000000004</v>
      </c>
      <c r="J95">
        <f t="shared" si="49"/>
        <v>0.14489999999999981</v>
      </c>
      <c r="K95">
        <f t="shared" si="49"/>
        <v>4.140000000000299E-2</v>
      </c>
      <c r="L95">
        <f t="shared" si="49"/>
        <v>6.9999999999978968E-3</v>
      </c>
      <c r="M95">
        <f t="shared" si="49"/>
        <v>0</v>
      </c>
      <c r="N95">
        <f t="shared" si="49"/>
        <v>1.3899999999999579E-2</v>
      </c>
      <c r="O95">
        <f t="shared" si="49"/>
        <v>0.51060000000000372</v>
      </c>
      <c r="P95">
        <f t="shared" si="49"/>
        <v>1.8492000000000033</v>
      </c>
      <c r="Q95">
        <f t="shared" si="49"/>
        <v>1.7941000000000003</v>
      </c>
      <c r="R95">
        <f t="shared" si="49"/>
        <v>0.15879999999999939</v>
      </c>
      <c r="S95">
        <f t="shared" si="49"/>
        <v>0.2967000000000013</v>
      </c>
      <c r="T95">
        <f t="shared" si="49"/>
        <v>0.81430000000000291</v>
      </c>
      <c r="U95">
        <f t="shared" si="49"/>
        <v>1.4558999999999997</v>
      </c>
      <c r="V95">
        <f t="shared" si="49"/>
        <v>0.10350000000000392</v>
      </c>
      <c r="W95">
        <f t="shared" si="49"/>
        <v>0.27609999999999957</v>
      </c>
      <c r="X95">
        <f t="shared" si="49"/>
        <v>0.88329999999999842</v>
      </c>
      <c r="Y95">
        <f t="shared" si="49"/>
        <v>0</v>
      </c>
      <c r="Z95">
        <f t="shared" si="49"/>
        <v>1.3899999999999579E-2</v>
      </c>
      <c r="AA95">
        <f t="shared" si="49"/>
        <v>6.9099999999998829E-2</v>
      </c>
      <c r="AB95">
        <f t="shared" si="49"/>
        <v>6.9099999999998829E-2</v>
      </c>
      <c r="AC95">
        <f t="shared" si="49"/>
        <v>1.3455000000000013</v>
      </c>
      <c r="AD95">
        <f t="shared" si="49"/>
        <v>0.10350000000000392</v>
      </c>
      <c r="AE95">
        <f t="shared" si="49"/>
        <v>2.0699999999997942E-2</v>
      </c>
      <c r="AF95">
        <f t="shared" si="49"/>
        <v>1.2696000000000041</v>
      </c>
      <c r="AG95">
        <f t="shared" si="49"/>
        <v>1.6905000000000001</v>
      </c>
      <c r="AH95">
        <f t="shared" si="49"/>
        <v>3.4500000000001307E-2</v>
      </c>
      <c r="AI95">
        <f t="shared" si="49"/>
        <v>4.140000000000299E-2</v>
      </c>
      <c r="AJ95">
        <f t="shared" si="49"/>
        <v>0.30369999999999919</v>
      </c>
      <c r="AK95">
        <f t="shared" si="49"/>
        <v>7.6000000000000512E-2</v>
      </c>
      <c r="AL95">
        <f t="shared" si="49"/>
        <v>2.0699999999997942E-2</v>
      </c>
      <c r="AM95">
        <f t="shared" si="49"/>
        <v>46.292100000000005</v>
      </c>
      <c r="AN95" s="70">
        <f t="shared" si="38"/>
        <v>62.61200000000003</v>
      </c>
      <c r="AO95" s="70">
        <v>62.7</v>
      </c>
      <c r="AP95" s="70">
        <f t="shared" si="39"/>
        <v>1.0014054813773714</v>
      </c>
    </row>
    <row r="96" spans="1:42" x14ac:dyDescent="0.25">
      <c r="A96">
        <v>481410055</v>
      </c>
      <c r="B96">
        <v>31.746775</v>
      </c>
      <c r="C96">
        <v>-106.402806</v>
      </c>
      <c r="D96" t="s">
        <v>55</v>
      </c>
      <c r="E96" t="s">
        <v>56</v>
      </c>
      <c r="G96">
        <f t="shared" ref="G96:AM96" si="50">$F77-G77</f>
        <v>0.50150000000000006</v>
      </c>
      <c r="H96">
        <f t="shared" si="50"/>
        <v>0.70609999999999928</v>
      </c>
      <c r="I96">
        <f t="shared" si="50"/>
        <v>1.5972000000000008</v>
      </c>
      <c r="J96">
        <f t="shared" si="50"/>
        <v>0.14509999999999934</v>
      </c>
      <c r="K96">
        <f t="shared" si="50"/>
        <v>3.9500000000003865E-2</v>
      </c>
      <c r="L96">
        <f t="shared" si="50"/>
        <v>6.599999999998829E-3</v>
      </c>
      <c r="M96">
        <f t="shared" si="50"/>
        <v>6.599999999998829E-3</v>
      </c>
      <c r="N96">
        <f t="shared" si="50"/>
        <v>1.9700000000000273E-2</v>
      </c>
      <c r="O96">
        <f t="shared" si="50"/>
        <v>0.44880000000000564</v>
      </c>
      <c r="P96">
        <f t="shared" si="50"/>
        <v>1.9866000000000028</v>
      </c>
      <c r="Q96">
        <f t="shared" si="50"/>
        <v>1.8744000000000014</v>
      </c>
      <c r="R96">
        <f t="shared" si="50"/>
        <v>0.16499999999999915</v>
      </c>
      <c r="S96">
        <f t="shared" si="50"/>
        <v>0.27060000000000173</v>
      </c>
      <c r="T96">
        <f t="shared" si="50"/>
        <v>0.85130000000000194</v>
      </c>
      <c r="U96">
        <f t="shared" si="50"/>
        <v>1.3992000000000004</v>
      </c>
      <c r="V96">
        <f t="shared" si="50"/>
        <v>0.10549999999999926</v>
      </c>
      <c r="W96">
        <f t="shared" si="50"/>
        <v>0.2640000000000029</v>
      </c>
      <c r="X96">
        <f t="shared" si="50"/>
        <v>0.85130000000000194</v>
      </c>
      <c r="Y96">
        <f t="shared" si="50"/>
        <v>0</v>
      </c>
      <c r="Z96">
        <f t="shared" si="50"/>
        <v>1.9700000000000273E-2</v>
      </c>
      <c r="AA96">
        <f t="shared" si="50"/>
        <v>6.6000000000002501E-2</v>
      </c>
      <c r="AB96">
        <f t="shared" si="50"/>
        <v>7.9200000000000159E-2</v>
      </c>
      <c r="AC96">
        <f t="shared" si="50"/>
        <v>1.148299999999999</v>
      </c>
      <c r="AD96">
        <f t="shared" si="50"/>
        <v>0.10549999999999926</v>
      </c>
      <c r="AE96">
        <f t="shared" si="50"/>
        <v>2.6299999999999102E-2</v>
      </c>
      <c r="AF96">
        <f t="shared" si="50"/>
        <v>0.87120000000000175</v>
      </c>
      <c r="AG96">
        <f t="shared" si="50"/>
        <v>1.590600000000002</v>
      </c>
      <c r="AH96">
        <f t="shared" si="50"/>
        <v>3.9500000000003865E-2</v>
      </c>
      <c r="AI96">
        <f t="shared" si="50"/>
        <v>3.9500000000003865E-2</v>
      </c>
      <c r="AJ96">
        <f t="shared" si="50"/>
        <v>0.34309999999999974</v>
      </c>
      <c r="AK96">
        <f t="shared" si="50"/>
        <v>5.9400000000003672E-2</v>
      </c>
      <c r="AL96">
        <f t="shared" si="50"/>
        <v>2.6299999999999102E-2</v>
      </c>
      <c r="AM96">
        <f t="shared" si="50"/>
        <v>44.147300000000001</v>
      </c>
      <c r="AN96" s="70">
        <f t="shared" si="38"/>
        <v>59.800900000000034</v>
      </c>
      <c r="AO96" s="70">
        <v>60.1</v>
      </c>
      <c r="AP96" s="70">
        <f t="shared" si="39"/>
        <v>1.0050015969659314</v>
      </c>
    </row>
    <row r="97" spans="1:42" x14ac:dyDescent="0.25">
      <c r="A97">
        <v>481410057</v>
      </c>
      <c r="B97">
        <v>31.6675</v>
      </c>
      <c r="C97">
        <v>-106.288</v>
      </c>
      <c r="D97" t="s">
        <v>55</v>
      </c>
      <c r="E97" t="s">
        <v>56</v>
      </c>
      <c r="G97">
        <f t="shared" ref="G97:AM97" si="51">$F78-G78</f>
        <v>0.46860000000000213</v>
      </c>
      <c r="H97">
        <f t="shared" si="51"/>
        <v>0.71269999999999811</v>
      </c>
      <c r="I97">
        <f t="shared" si="51"/>
        <v>1.4320999999999984</v>
      </c>
      <c r="J97">
        <f t="shared" si="51"/>
        <v>0.18469999999999942</v>
      </c>
      <c r="K97">
        <f t="shared" si="51"/>
        <v>3.949999999999676E-2</v>
      </c>
      <c r="L97">
        <f t="shared" si="51"/>
        <v>0</v>
      </c>
      <c r="M97">
        <f t="shared" si="51"/>
        <v>1.3199999999997658E-2</v>
      </c>
      <c r="N97">
        <f t="shared" si="51"/>
        <v>3.949999999999676E-2</v>
      </c>
      <c r="O97">
        <f t="shared" si="51"/>
        <v>0.42889999999999873</v>
      </c>
      <c r="P97">
        <f t="shared" si="51"/>
        <v>1.9138999999999982</v>
      </c>
      <c r="Q97">
        <f t="shared" si="51"/>
        <v>1.7424000000000035</v>
      </c>
      <c r="R97">
        <f t="shared" si="51"/>
        <v>0.27720000000000056</v>
      </c>
      <c r="S97">
        <f t="shared" si="51"/>
        <v>0.25730000000000075</v>
      </c>
      <c r="T97">
        <f t="shared" si="51"/>
        <v>0.81839999999999691</v>
      </c>
      <c r="U97">
        <f t="shared" si="51"/>
        <v>1.2672000000000025</v>
      </c>
      <c r="V97">
        <f t="shared" si="51"/>
        <v>0.16499999999999915</v>
      </c>
      <c r="W97">
        <f t="shared" si="51"/>
        <v>0.23749999999999716</v>
      </c>
      <c r="X97">
        <f t="shared" si="51"/>
        <v>0.79860000000000042</v>
      </c>
      <c r="Y97">
        <f t="shared" si="51"/>
        <v>0</v>
      </c>
      <c r="Z97">
        <f t="shared" si="51"/>
        <v>1.3199999999997658E-2</v>
      </c>
      <c r="AA97">
        <f t="shared" si="51"/>
        <v>5.2700000000001523E-2</v>
      </c>
      <c r="AB97">
        <f t="shared" si="51"/>
        <v>5.9300000000000352E-2</v>
      </c>
      <c r="AC97">
        <f t="shared" si="51"/>
        <v>0.98989999999999867</v>
      </c>
      <c r="AD97">
        <f t="shared" si="51"/>
        <v>0.158299999999997</v>
      </c>
      <c r="AE97">
        <f t="shared" si="51"/>
        <v>1.9799999999996487E-2</v>
      </c>
      <c r="AF97">
        <f t="shared" si="51"/>
        <v>0.48839999999999861</v>
      </c>
      <c r="AG97">
        <f t="shared" si="51"/>
        <v>1.319899999999997</v>
      </c>
      <c r="AH97">
        <f t="shared" si="51"/>
        <v>5.9300000000000352E-2</v>
      </c>
      <c r="AI97">
        <f t="shared" si="51"/>
        <v>3.2899999999997931E-2</v>
      </c>
      <c r="AJ97">
        <f t="shared" si="51"/>
        <v>0.29699999999999704</v>
      </c>
      <c r="AK97">
        <f t="shared" si="51"/>
        <v>3.2899999999997931E-2</v>
      </c>
      <c r="AL97">
        <f t="shared" si="51"/>
        <v>3.949999999999676E-2</v>
      </c>
      <c r="AM97">
        <f t="shared" si="51"/>
        <v>45.388100000000001</v>
      </c>
      <c r="AN97" s="70">
        <f t="shared" si="38"/>
        <v>59.747899999999966</v>
      </c>
      <c r="AO97" s="70">
        <v>59.8</v>
      </c>
      <c r="AP97" s="70">
        <f t="shared" si="39"/>
        <v>1.0008719971747966</v>
      </c>
    </row>
    <row r="98" spans="1:42" x14ac:dyDescent="0.25">
      <c r="A98">
        <v>481410058</v>
      </c>
      <c r="B98">
        <v>31.893913000000001</v>
      </c>
      <c r="C98">
        <v>-106.425827</v>
      </c>
      <c r="D98" t="s">
        <v>55</v>
      </c>
      <c r="E98" t="s">
        <v>56</v>
      </c>
      <c r="G98">
        <f t="shared" ref="G98:AM98" si="52">$F79-G79</f>
        <v>0.48530000000000229</v>
      </c>
      <c r="H98">
        <f t="shared" si="52"/>
        <v>0.72800000000000153</v>
      </c>
      <c r="I98">
        <f t="shared" si="52"/>
        <v>1.5253000000000014</v>
      </c>
      <c r="J98">
        <f t="shared" si="52"/>
        <v>0.15940000000000509</v>
      </c>
      <c r="K98">
        <f t="shared" si="52"/>
        <v>8.3200000000005048E-2</v>
      </c>
      <c r="L98">
        <f t="shared" si="52"/>
        <v>6.9000000000016826E-3</v>
      </c>
      <c r="M98">
        <f t="shared" si="52"/>
        <v>0</v>
      </c>
      <c r="N98">
        <f t="shared" si="52"/>
        <v>1.3800000000003365E-2</v>
      </c>
      <c r="O98">
        <f t="shared" si="52"/>
        <v>0.49920000000000186</v>
      </c>
      <c r="P98">
        <f t="shared" si="52"/>
        <v>2.3712000000000018</v>
      </c>
      <c r="Q98">
        <f t="shared" si="52"/>
        <v>1.3935999999999993</v>
      </c>
      <c r="R98">
        <f t="shared" si="52"/>
        <v>0.18019999999999925</v>
      </c>
      <c r="S98">
        <f t="shared" si="52"/>
        <v>0.28419999999999845</v>
      </c>
      <c r="T98">
        <f t="shared" si="52"/>
        <v>1.0816000000000017</v>
      </c>
      <c r="U98">
        <f t="shared" si="52"/>
        <v>1.1856000000000009</v>
      </c>
      <c r="V98">
        <f t="shared" si="52"/>
        <v>0.11780000000000257</v>
      </c>
      <c r="W98">
        <f t="shared" si="52"/>
        <v>0.27730000000000388</v>
      </c>
      <c r="X98">
        <f t="shared" si="52"/>
        <v>0.86659999999999826</v>
      </c>
      <c r="Y98">
        <f t="shared" si="52"/>
        <v>0</v>
      </c>
      <c r="Z98">
        <f t="shared" si="52"/>
        <v>2.0800000000001262E-2</v>
      </c>
      <c r="AA98">
        <f t="shared" si="52"/>
        <v>6.9299999999998363E-2</v>
      </c>
      <c r="AB98">
        <f t="shared" si="52"/>
        <v>9.0099999999999625E-2</v>
      </c>
      <c r="AC98">
        <f t="shared" si="52"/>
        <v>1.2618000000000009</v>
      </c>
      <c r="AD98">
        <f t="shared" si="52"/>
        <v>0.14560000000000173</v>
      </c>
      <c r="AE98">
        <f t="shared" si="52"/>
        <v>2.0800000000001262E-2</v>
      </c>
      <c r="AF98">
        <f t="shared" si="52"/>
        <v>1.1439999999999984</v>
      </c>
      <c r="AG98">
        <f t="shared" si="52"/>
        <v>1.2064000000000021</v>
      </c>
      <c r="AH98">
        <f t="shared" si="52"/>
        <v>4.1600000000002524E-2</v>
      </c>
      <c r="AI98">
        <f t="shared" si="52"/>
        <v>4.1600000000002524E-2</v>
      </c>
      <c r="AJ98">
        <f t="shared" si="52"/>
        <v>0.3674000000000035</v>
      </c>
      <c r="AK98">
        <f t="shared" si="52"/>
        <v>4.8500000000004206E-2</v>
      </c>
      <c r="AL98">
        <f t="shared" si="52"/>
        <v>2.7700000000002944E-2</v>
      </c>
      <c r="AM98">
        <f t="shared" si="52"/>
        <v>45.9818</v>
      </c>
      <c r="AN98" s="70">
        <f t="shared" si="38"/>
        <v>61.726600000000047</v>
      </c>
      <c r="AO98" s="70">
        <v>61.7</v>
      </c>
      <c r="AP98" s="70">
        <f t="shared" si="39"/>
        <v>0.99956906746848129</v>
      </c>
    </row>
    <row r="99" spans="1:42" ht="21" x14ac:dyDescent="0.35">
      <c r="A99" s="14" t="s">
        <v>204</v>
      </c>
    </row>
    <row r="100" spans="1:42" x14ac:dyDescent="0.25">
      <c r="A100" s="1" t="s">
        <v>57</v>
      </c>
      <c r="B100" s="1" t="s">
        <v>58</v>
      </c>
      <c r="C100" s="1" t="s">
        <v>59</v>
      </c>
      <c r="D100" s="1" t="s">
        <v>60</v>
      </c>
      <c r="E100" s="1" t="s">
        <v>61</v>
      </c>
      <c r="F100" s="1"/>
      <c r="G100" s="1" t="s">
        <v>72</v>
      </c>
      <c r="H100" s="1" t="s">
        <v>74</v>
      </c>
      <c r="I100" s="1" t="s">
        <v>75</v>
      </c>
      <c r="J100" s="1" t="s">
        <v>76</v>
      </c>
      <c r="K100" s="1" t="s">
        <v>77</v>
      </c>
      <c r="L100" s="1" t="s">
        <v>78</v>
      </c>
      <c r="M100" s="1" t="s">
        <v>79</v>
      </c>
      <c r="N100" s="1" t="s">
        <v>80</v>
      </c>
      <c r="O100" s="1" t="s">
        <v>81</v>
      </c>
      <c r="P100" s="1" t="s">
        <v>82</v>
      </c>
      <c r="Q100" s="1" t="s">
        <v>83</v>
      </c>
      <c r="R100" s="1" t="s">
        <v>84</v>
      </c>
      <c r="S100" s="1" t="s">
        <v>85</v>
      </c>
      <c r="T100" s="1" t="s">
        <v>86</v>
      </c>
      <c r="U100" s="1" t="s">
        <v>87</v>
      </c>
      <c r="V100" s="1" t="s">
        <v>88</v>
      </c>
      <c r="W100" s="1" t="s">
        <v>89</v>
      </c>
      <c r="X100" s="1" t="s">
        <v>90</v>
      </c>
      <c r="Y100" s="1" t="s">
        <v>91</v>
      </c>
      <c r="Z100" s="1" t="s">
        <v>92</v>
      </c>
      <c r="AA100" s="1" t="s">
        <v>93</v>
      </c>
      <c r="AB100" s="1" t="s">
        <v>94</v>
      </c>
      <c r="AC100" s="1" t="s">
        <v>95</v>
      </c>
      <c r="AD100" s="1" t="s">
        <v>96</v>
      </c>
      <c r="AE100" s="1" t="s">
        <v>97</v>
      </c>
      <c r="AF100" s="1" t="s">
        <v>98</v>
      </c>
      <c r="AG100" s="1" t="s">
        <v>99</v>
      </c>
      <c r="AH100" s="1" t="s">
        <v>100</v>
      </c>
      <c r="AI100" s="1" t="s">
        <v>101</v>
      </c>
      <c r="AJ100" s="1" t="s">
        <v>102</v>
      </c>
      <c r="AK100" s="1" t="s">
        <v>103</v>
      </c>
      <c r="AL100" s="1" t="s">
        <v>104</v>
      </c>
      <c r="AM100" s="1" t="s">
        <v>187</v>
      </c>
      <c r="AN100" s="1" t="s">
        <v>208</v>
      </c>
    </row>
    <row r="101" spans="1:42" x14ac:dyDescent="0.25">
      <c r="A101">
        <v>350130008</v>
      </c>
      <c r="B101">
        <v>31.930555999999999</v>
      </c>
      <c r="C101">
        <v>-106.630556</v>
      </c>
      <c r="D101" t="s">
        <v>50</v>
      </c>
      <c r="E101" t="s">
        <v>51</v>
      </c>
      <c r="G101">
        <f t="shared" ref="G101:AM101" si="53">G82*$AP82</f>
        <v>0.37590138961007702</v>
      </c>
      <c r="H101">
        <f t="shared" si="53"/>
        <v>0.66760086794749351</v>
      </c>
      <c r="I101">
        <f t="shared" si="53"/>
        <v>1.2834777046846471</v>
      </c>
      <c r="J101">
        <f t="shared" si="53"/>
        <v>5.8339895667483307E-2</v>
      </c>
      <c r="K101">
        <f t="shared" si="53"/>
        <v>9.723315944580789E-2</v>
      </c>
      <c r="L101">
        <f t="shared" si="53"/>
        <v>1.2931007802588563E-2</v>
      </c>
      <c r="M101">
        <f t="shared" si="53"/>
        <v>6.4153837160112739E-3</v>
      </c>
      <c r="N101">
        <f t="shared" si="53"/>
        <v>6.4153837160112739E-3</v>
      </c>
      <c r="O101">
        <f t="shared" si="53"/>
        <v>0.42131027747497174</v>
      </c>
      <c r="P101">
        <f t="shared" si="53"/>
        <v>1.8668766613594874</v>
      </c>
      <c r="Q101">
        <f t="shared" si="53"/>
        <v>1.1862445452388393</v>
      </c>
      <c r="R101">
        <f t="shared" si="53"/>
        <v>6.4755279383494582E-2</v>
      </c>
      <c r="S101">
        <f t="shared" si="53"/>
        <v>0.2462905904725218</v>
      </c>
      <c r="T101">
        <f t="shared" si="53"/>
        <v>0.70007874800980685</v>
      </c>
      <c r="U101">
        <f t="shared" si="53"/>
        <v>1.030671490125548</v>
      </c>
      <c r="V101">
        <f t="shared" si="53"/>
        <v>4.5308647494335857E-2</v>
      </c>
      <c r="W101">
        <f t="shared" si="53"/>
        <v>0.27866823016426912</v>
      </c>
      <c r="X101">
        <f t="shared" si="53"/>
        <v>1.0501181220147138</v>
      </c>
      <c r="Y101">
        <f t="shared" si="53"/>
        <v>0</v>
      </c>
      <c r="Z101">
        <f t="shared" si="53"/>
        <v>1.2931007802588563E-2</v>
      </c>
      <c r="AA101">
        <f t="shared" si="53"/>
        <v>3.8893263778324583E-2</v>
      </c>
      <c r="AB101">
        <f t="shared" si="53"/>
        <v>6.4755279383494582E-2</v>
      </c>
      <c r="AC101">
        <f t="shared" si="53"/>
        <v>1.5232526710705916</v>
      </c>
      <c r="AD101">
        <f t="shared" si="53"/>
        <v>5.8339895667483307E-2</v>
      </c>
      <c r="AE101">
        <f t="shared" si="53"/>
        <v>1.9446631889158728E-2</v>
      </c>
      <c r="AF101">
        <f t="shared" si="53"/>
        <v>0.62870760416917604</v>
      </c>
      <c r="AG101">
        <f t="shared" si="53"/>
        <v>1.3807108641304551</v>
      </c>
      <c r="AH101">
        <f t="shared" si="53"/>
        <v>1.2931007802588563E-2</v>
      </c>
      <c r="AI101">
        <f t="shared" si="53"/>
        <v>5.8339895667483307E-2</v>
      </c>
      <c r="AJ101">
        <f t="shared" si="53"/>
        <v>0.20739732669419722</v>
      </c>
      <c r="AK101">
        <f t="shared" si="53"/>
        <v>3.8893263778324583E-2</v>
      </c>
      <c r="AL101">
        <f t="shared" si="53"/>
        <v>6.4153837160112739E-3</v>
      </c>
      <c r="AM101">
        <f t="shared" si="53"/>
        <v>44.850348520122012</v>
      </c>
      <c r="AN101">
        <f>SUM(G101:AM101)</f>
        <v>58.3</v>
      </c>
    </row>
    <row r="102" spans="1:42" x14ac:dyDescent="0.25">
      <c r="A102">
        <v>350130017</v>
      </c>
      <c r="B102">
        <v>31.795832999999998</v>
      </c>
      <c r="C102">
        <v>-106.5575</v>
      </c>
      <c r="D102" t="s">
        <v>50</v>
      </c>
      <c r="E102" t="s">
        <v>51</v>
      </c>
      <c r="G102">
        <f t="shared" ref="G102:AM102" si="54">G83*$AP83</f>
        <v>0.39485300259258155</v>
      </c>
      <c r="H102">
        <f t="shared" si="54"/>
        <v>0.6358006777062849</v>
      </c>
      <c r="I102">
        <f t="shared" si="54"/>
        <v>1.3719962200432729</v>
      </c>
      <c r="J102">
        <f t="shared" si="54"/>
        <v>7.3589435774312872E-2</v>
      </c>
      <c r="K102">
        <f t="shared" si="54"/>
        <v>3.3431489922030176E-2</v>
      </c>
      <c r="L102">
        <f t="shared" si="54"/>
        <v>6.6260610656256108E-3</v>
      </c>
      <c r="M102">
        <f t="shared" si="54"/>
        <v>0</v>
      </c>
      <c r="N102">
        <f t="shared" si="54"/>
        <v>4.6784006917915441E-2</v>
      </c>
      <c r="O102">
        <f t="shared" si="54"/>
        <v>0.4282844925146046</v>
      </c>
      <c r="P102">
        <f t="shared" si="54"/>
        <v>1.5192754864565186</v>
      </c>
      <c r="Q102">
        <f t="shared" si="54"/>
        <v>1.633022868083114</v>
      </c>
      <c r="R102">
        <f t="shared" si="54"/>
        <v>7.3589435774312872E-2</v>
      </c>
      <c r="S102">
        <f t="shared" si="54"/>
        <v>0.2543001921095886</v>
      </c>
      <c r="T102">
        <f t="shared" si="54"/>
        <v>0.6358006777062849</v>
      </c>
      <c r="U102">
        <f t="shared" si="54"/>
        <v>1.1846594026423645</v>
      </c>
      <c r="V102">
        <f t="shared" si="54"/>
        <v>5.3510462848167961E-2</v>
      </c>
      <c r="W102">
        <f t="shared" si="54"/>
        <v>0.28110562096598601</v>
      </c>
      <c r="X102">
        <f t="shared" si="54"/>
        <v>0.88347480875024076</v>
      </c>
      <c r="Y102">
        <f t="shared" si="54"/>
        <v>0</v>
      </c>
      <c r="Z102">
        <f t="shared" si="54"/>
        <v>2.0078972926144915E-2</v>
      </c>
      <c r="AA102">
        <f t="shared" si="54"/>
        <v>8.694195277019813E-2</v>
      </c>
      <c r="AB102">
        <f t="shared" si="54"/>
        <v>5.3510462848167961E-2</v>
      </c>
      <c r="AC102">
        <f t="shared" si="54"/>
        <v>1.8271865362789019</v>
      </c>
      <c r="AD102">
        <f t="shared" si="54"/>
        <v>8.694195277019813E-2</v>
      </c>
      <c r="AE102">
        <f t="shared" si="54"/>
        <v>2.0078972926144915E-2</v>
      </c>
      <c r="AF102">
        <f t="shared" si="54"/>
        <v>0.70276405241496498</v>
      </c>
      <c r="AG102">
        <f t="shared" si="54"/>
        <v>1.9141284890490999</v>
      </c>
      <c r="AH102">
        <f t="shared" si="54"/>
        <v>2.0078972926144915E-2</v>
      </c>
      <c r="AI102">
        <f t="shared" si="54"/>
        <v>4.6784006917915441E-2</v>
      </c>
      <c r="AJ102">
        <f t="shared" si="54"/>
        <v>0.22749476325319115</v>
      </c>
      <c r="AK102">
        <f t="shared" si="54"/>
        <v>8.0315891704572526E-2</v>
      </c>
      <c r="AL102">
        <f t="shared" si="54"/>
        <v>6.6260610656256108E-3</v>
      </c>
      <c r="AM102">
        <f t="shared" si="54"/>
        <v>46.696964570275512</v>
      </c>
      <c r="AN102">
        <f>SUM(G102:AM102)</f>
        <v>61.29999999999999</v>
      </c>
    </row>
    <row r="103" spans="1:42" x14ac:dyDescent="0.25">
      <c r="A103">
        <v>350130019</v>
      </c>
      <c r="B103">
        <v>32.424722000000003</v>
      </c>
      <c r="C103">
        <v>-106.674167</v>
      </c>
      <c r="D103" t="s">
        <v>50</v>
      </c>
      <c r="E103" t="s">
        <v>51</v>
      </c>
      <c r="G103" t="s">
        <v>62</v>
      </c>
      <c r="H103" t="s">
        <v>62</v>
      </c>
      <c r="I103" t="s">
        <v>62</v>
      </c>
      <c r="J103" t="s">
        <v>62</v>
      </c>
      <c r="K103" t="s">
        <v>62</v>
      </c>
      <c r="L103" t="s">
        <v>62</v>
      </c>
      <c r="M103" t="s">
        <v>62</v>
      </c>
      <c r="N103" t="s">
        <v>62</v>
      </c>
      <c r="O103" t="s">
        <v>62</v>
      </c>
      <c r="P103" t="s">
        <v>62</v>
      </c>
      <c r="Q103" t="s">
        <v>62</v>
      </c>
      <c r="R103" t="s">
        <v>62</v>
      </c>
      <c r="S103" t="s">
        <v>62</v>
      </c>
      <c r="T103" t="s">
        <v>62</v>
      </c>
      <c r="U103" t="s">
        <v>62</v>
      </c>
      <c r="V103" t="s">
        <v>62</v>
      </c>
      <c r="W103" t="s">
        <v>62</v>
      </c>
      <c r="X103" t="s">
        <v>62</v>
      </c>
      <c r="Y103" t="s">
        <v>62</v>
      </c>
      <c r="Z103" t="s">
        <v>62</v>
      </c>
      <c r="AA103" t="s">
        <v>62</v>
      </c>
      <c r="AB103" t="s">
        <v>62</v>
      </c>
      <c r="AC103" t="s">
        <v>62</v>
      </c>
      <c r="AD103" t="s">
        <v>62</v>
      </c>
      <c r="AE103" t="s">
        <v>62</v>
      </c>
      <c r="AF103" t="s">
        <v>62</v>
      </c>
      <c r="AG103" t="s">
        <v>62</v>
      </c>
      <c r="AH103" t="s">
        <v>62</v>
      </c>
      <c r="AI103" t="s">
        <v>62</v>
      </c>
      <c r="AJ103" t="s">
        <v>62</v>
      </c>
      <c r="AK103" t="s">
        <v>62</v>
      </c>
      <c r="AL103" t="s">
        <v>62</v>
      </c>
      <c r="AM103" t="s">
        <v>62</v>
      </c>
      <c r="AN103" t="s">
        <v>62</v>
      </c>
    </row>
    <row r="104" spans="1:42" x14ac:dyDescent="0.25">
      <c r="A104">
        <v>350130020</v>
      </c>
      <c r="B104">
        <v>32.041111000000001</v>
      </c>
      <c r="C104">
        <v>-106.409167</v>
      </c>
      <c r="D104" t="s">
        <v>50</v>
      </c>
      <c r="E104" t="s">
        <v>51</v>
      </c>
      <c r="G104">
        <f t="shared" ref="G104:AM104" si="55">G85*$AP85</f>
        <v>0.45508335933411809</v>
      </c>
      <c r="H104">
        <f t="shared" si="55"/>
        <v>0.61808630939115294</v>
      </c>
      <c r="I104">
        <f t="shared" si="55"/>
        <v>1.3855250754848136</v>
      </c>
      <c r="J104">
        <f t="shared" si="55"/>
        <v>0.15617770337977138</v>
      </c>
      <c r="K104">
        <f t="shared" si="55"/>
        <v>7.4676228351250401E-2</v>
      </c>
      <c r="L104">
        <f t="shared" si="55"/>
        <v>1.3550122079865019E-2</v>
      </c>
      <c r="M104">
        <f t="shared" si="55"/>
        <v>6.8252466772634407E-3</v>
      </c>
      <c r="N104">
        <f t="shared" si="55"/>
        <v>3.3925490836993477E-2</v>
      </c>
      <c r="O104">
        <f t="shared" si="55"/>
        <v>0.50255897225097657</v>
      </c>
      <c r="P104">
        <f t="shared" si="55"/>
        <v>1.7183562222761468</v>
      </c>
      <c r="Q104">
        <f t="shared" si="55"/>
        <v>1.0187684378564801</v>
      </c>
      <c r="R104">
        <f t="shared" si="55"/>
        <v>0.19692844089402828</v>
      </c>
      <c r="S104">
        <f t="shared" si="55"/>
        <v>0.26487979384268423</v>
      </c>
      <c r="T104">
        <f t="shared" si="55"/>
        <v>0.79463938152805269</v>
      </c>
      <c r="U104">
        <f t="shared" si="55"/>
        <v>1.0934446662077304</v>
      </c>
      <c r="V104">
        <f t="shared" si="55"/>
        <v>0.13580233462264291</v>
      </c>
      <c r="W104">
        <f t="shared" si="55"/>
        <v>0.20375368757129173</v>
      </c>
      <c r="X104">
        <f t="shared" si="55"/>
        <v>0.75388864401379585</v>
      </c>
      <c r="Y104">
        <f t="shared" si="55"/>
        <v>0</v>
      </c>
      <c r="Z104">
        <f t="shared" si="55"/>
        <v>1.3550122079865019E-2</v>
      </c>
      <c r="AA104">
        <f t="shared" si="55"/>
        <v>4.0750737514256917E-2</v>
      </c>
      <c r="AB104">
        <f t="shared" si="55"/>
        <v>0.1494528279771698</v>
      </c>
      <c r="AC104">
        <f t="shared" si="55"/>
        <v>0.95081708490782413</v>
      </c>
      <c r="AD104">
        <f t="shared" si="55"/>
        <v>0.1494528279771698</v>
      </c>
      <c r="AE104">
        <f t="shared" si="55"/>
        <v>2.0375368757128458E-2</v>
      </c>
      <c r="AF104">
        <f t="shared" si="55"/>
        <v>0.80146462820531617</v>
      </c>
      <c r="AG104">
        <f t="shared" si="55"/>
        <v>1.0119431911792165</v>
      </c>
      <c r="AH104">
        <f t="shared" si="55"/>
        <v>4.7575984191520357E-2</v>
      </c>
      <c r="AI104">
        <f t="shared" si="55"/>
        <v>4.0750737514256917E-2</v>
      </c>
      <c r="AJ104">
        <f t="shared" si="55"/>
        <v>0.23095430300569075</v>
      </c>
      <c r="AK104">
        <f t="shared" si="55"/>
        <v>3.3925490836993477E-2</v>
      </c>
      <c r="AL104">
        <f t="shared" si="55"/>
        <v>2.7200615434391902E-2</v>
      </c>
      <c r="AM104">
        <f t="shared" si="55"/>
        <v>47.85491596382014</v>
      </c>
      <c r="AN104">
        <f t="shared" ref="AN104:AN117" si="56">SUM(G104:AM104)</f>
        <v>60.8</v>
      </c>
    </row>
    <row r="105" spans="1:42" x14ac:dyDescent="0.25">
      <c r="A105">
        <v>350130021</v>
      </c>
      <c r="B105">
        <v>31.796111</v>
      </c>
      <c r="C105">
        <v>-106.583889</v>
      </c>
      <c r="D105" t="s">
        <v>50</v>
      </c>
      <c r="E105" t="s">
        <v>51</v>
      </c>
      <c r="G105">
        <f t="shared" ref="G105:AM105" si="57">G86*$AP86</f>
        <v>0.39860374674376942</v>
      </c>
      <c r="H105">
        <f t="shared" si="57"/>
        <v>0.69036525209230148</v>
      </c>
      <c r="I105">
        <f t="shared" si="57"/>
        <v>1.2880203040996236</v>
      </c>
      <c r="J105">
        <f t="shared" si="57"/>
        <v>7.1161342767932567E-2</v>
      </c>
      <c r="K105">
        <f t="shared" si="57"/>
        <v>2.8564764350517174E-2</v>
      </c>
      <c r="L105">
        <f t="shared" si="57"/>
        <v>0</v>
      </c>
      <c r="M105">
        <f t="shared" si="57"/>
        <v>0</v>
      </c>
      <c r="N105">
        <f t="shared" si="57"/>
        <v>4.2797032904106538E-2</v>
      </c>
      <c r="O105">
        <f t="shared" si="57"/>
        <v>0.4838971308219529</v>
      </c>
      <c r="P105">
        <f t="shared" si="57"/>
        <v>1.6367108836624991</v>
      </c>
      <c r="Q105">
        <f t="shared" si="57"/>
        <v>1.4802561568163759</v>
      </c>
      <c r="R105">
        <f t="shared" si="57"/>
        <v>7.8377704288072822E-2</v>
      </c>
      <c r="S105">
        <f t="shared" si="57"/>
        <v>0.27752923679494274</v>
      </c>
      <c r="T105">
        <f t="shared" si="57"/>
        <v>0.65468435346499676</v>
      </c>
      <c r="U105">
        <f t="shared" si="57"/>
        <v>1.1031010401463217</v>
      </c>
      <c r="V105">
        <f t="shared" si="57"/>
        <v>4.9812939937555652E-2</v>
      </c>
      <c r="W105">
        <f t="shared" si="57"/>
        <v>0.26339719548469182</v>
      </c>
      <c r="X105">
        <f t="shared" si="57"/>
        <v>1.1172330814565727</v>
      </c>
      <c r="Y105">
        <f t="shared" si="57"/>
        <v>0</v>
      </c>
      <c r="Z105">
        <f t="shared" si="57"/>
        <v>1.4232268553589363E-2</v>
      </c>
      <c r="AA105">
        <f t="shared" si="57"/>
        <v>9.2609972841647945E-2</v>
      </c>
      <c r="AB105">
        <f t="shared" si="57"/>
        <v>5.7029301457681654E-2</v>
      </c>
      <c r="AC105">
        <f t="shared" si="57"/>
        <v>2.1705211816653458</v>
      </c>
      <c r="AD105">
        <f t="shared" si="57"/>
        <v>9.2609972841647945E-2</v>
      </c>
      <c r="AE105">
        <f t="shared" si="57"/>
        <v>2.144863007371537E-2</v>
      </c>
      <c r="AF105">
        <f t="shared" si="57"/>
        <v>0.65468435346499676</v>
      </c>
      <c r="AG105">
        <f t="shared" si="57"/>
        <v>1.7008563193969752</v>
      </c>
      <c r="AH105">
        <f t="shared" si="57"/>
        <v>2.144863007371537E-2</v>
      </c>
      <c r="AI105">
        <f t="shared" si="57"/>
        <v>4.9812939937555652E-2</v>
      </c>
      <c r="AJ105">
        <f t="shared" si="57"/>
        <v>0.22060016258059953</v>
      </c>
      <c r="AK105">
        <f t="shared" si="57"/>
        <v>7.1161342767932567E-2</v>
      </c>
      <c r="AL105">
        <f t="shared" si="57"/>
        <v>7.1161342768018034E-3</v>
      </c>
      <c r="AM105">
        <f t="shared" si="57"/>
        <v>50.261356624235567</v>
      </c>
      <c r="AN105">
        <f t="shared" si="56"/>
        <v>65.100000000000009</v>
      </c>
    </row>
    <row r="106" spans="1:42" x14ac:dyDescent="0.25">
      <c r="A106">
        <v>350130022</v>
      </c>
      <c r="B106">
        <v>31.787777999999999</v>
      </c>
      <c r="C106">
        <v>-106.682778</v>
      </c>
      <c r="D106" t="s">
        <v>50</v>
      </c>
      <c r="E106" t="s">
        <v>51</v>
      </c>
      <c r="G106">
        <f t="shared" ref="G106:AM106" si="58">G87*$AP87</f>
        <v>0.41089476592721053</v>
      </c>
      <c r="H106">
        <f t="shared" si="58"/>
        <v>0.74392200205257974</v>
      </c>
      <c r="I106">
        <f t="shared" si="58"/>
        <v>0.85019657377437585</v>
      </c>
      <c r="J106">
        <f t="shared" si="58"/>
        <v>6.3764743033076221E-2</v>
      </c>
      <c r="K106">
        <f t="shared" si="58"/>
        <v>2.8306307728746018E-2</v>
      </c>
      <c r="L106">
        <f t="shared" si="58"/>
        <v>7.0513933843825054E-3</v>
      </c>
      <c r="M106">
        <f t="shared" si="58"/>
        <v>0</v>
      </c>
      <c r="N106">
        <f t="shared" si="58"/>
        <v>3.5458435304330203E-2</v>
      </c>
      <c r="O106">
        <f t="shared" si="58"/>
        <v>0.53137285860898043</v>
      </c>
      <c r="P106">
        <f t="shared" si="58"/>
        <v>1.6366284045156683</v>
      </c>
      <c r="Q106">
        <f t="shared" si="58"/>
        <v>1.0485421962579942</v>
      </c>
      <c r="R106">
        <f t="shared" si="58"/>
        <v>7.0816136417458722E-2</v>
      </c>
      <c r="S106">
        <f t="shared" si="58"/>
        <v>0.29756880082103193</v>
      </c>
      <c r="T106">
        <f t="shared" si="58"/>
        <v>0.66595373805952252</v>
      </c>
      <c r="U106">
        <f t="shared" si="58"/>
        <v>0.65185095129075754</v>
      </c>
      <c r="V106">
        <f t="shared" si="58"/>
        <v>4.9561222073102373E-2</v>
      </c>
      <c r="W106">
        <f t="shared" si="58"/>
        <v>0.27631388647666838</v>
      </c>
      <c r="X106">
        <f t="shared" si="58"/>
        <v>1.5870671824425659</v>
      </c>
      <c r="Y106">
        <f t="shared" si="58"/>
        <v>0</v>
      </c>
      <c r="Z106">
        <f t="shared" si="58"/>
        <v>7.0513933843825054E-3</v>
      </c>
      <c r="AA106">
        <f t="shared" si="58"/>
        <v>9.2071050761822232E-2</v>
      </c>
      <c r="AB106">
        <f t="shared" si="58"/>
        <v>7.7968263993050069E-2</v>
      </c>
      <c r="AC106">
        <f t="shared" si="58"/>
        <v>2.06172669140286</v>
      </c>
      <c r="AD106">
        <f t="shared" si="58"/>
        <v>9.2071050761822232E-2</v>
      </c>
      <c r="AE106">
        <f t="shared" si="58"/>
        <v>2.1254914344356356E-2</v>
      </c>
      <c r="AF106">
        <f t="shared" si="58"/>
        <v>0.64469882371516618</v>
      </c>
      <c r="AG106">
        <f t="shared" si="58"/>
        <v>0.75812552301255365</v>
      </c>
      <c r="AH106">
        <f t="shared" si="58"/>
        <v>1.4203520959973849E-2</v>
      </c>
      <c r="AI106">
        <f t="shared" si="58"/>
        <v>5.6713349648693713E-2</v>
      </c>
      <c r="AJ106">
        <f t="shared" si="58"/>
        <v>0.19129422909923582</v>
      </c>
      <c r="AK106">
        <f t="shared" si="58"/>
        <v>4.2509828688719865E-2</v>
      </c>
      <c r="AL106">
        <f t="shared" si="58"/>
        <v>7.0513933843825054E-3</v>
      </c>
      <c r="AM106">
        <f t="shared" si="58"/>
        <v>50.777990368674523</v>
      </c>
      <c r="AN106">
        <f t="shared" si="56"/>
        <v>63.79999999999999</v>
      </c>
    </row>
    <row r="107" spans="1:42" x14ac:dyDescent="0.25">
      <c r="A107">
        <v>350130023</v>
      </c>
      <c r="B107">
        <v>32.317500000000003</v>
      </c>
      <c r="C107">
        <v>-106.76777800000001</v>
      </c>
      <c r="D107" t="s">
        <v>50</v>
      </c>
      <c r="E107" t="s">
        <v>51</v>
      </c>
      <c r="G107">
        <f t="shared" ref="G107:AM107" si="59">G88*$AP88</f>
        <v>0.66854079466749328</v>
      </c>
      <c r="H107">
        <f t="shared" si="59"/>
        <v>0.60419461744946013</v>
      </c>
      <c r="I107">
        <f t="shared" si="59"/>
        <v>0.93202040541897724</v>
      </c>
      <c r="J107">
        <f t="shared" si="59"/>
        <v>0.10281400055490038</v>
      </c>
      <c r="K107">
        <f t="shared" si="59"/>
        <v>0.12209787043546146</v>
      </c>
      <c r="L107">
        <f t="shared" si="59"/>
        <v>0</v>
      </c>
      <c r="M107">
        <f t="shared" si="59"/>
        <v>0</v>
      </c>
      <c r="N107">
        <f t="shared" si="59"/>
        <v>6.3946511521020535E-3</v>
      </c>
      <c r="O107">
        <f t="shared" si="59"/>
        <v>1.6005612000864706</v>
      </c>
      <c r="P107">
        <f t="shared" si="59"/>
        <v>0.49498596574245063</v>
      </c>
      <c r="Q107">
        <f t="shared" si="59"/>
        <v>0.37928274645909121</v>
      </c>
      <c r="R107">
        <f t="shared" si="59"/>
        <v>0.14138174031602255</v>
      </c>
      <c r="S107">
        <f t="shared" si="59"/>
        <v>0.76496014407029156</v>
      </c>
      <c r="T107">
        <f t="shared" si="59"/>
        <v>0.2635795271757318</v>
      </c>
      <c r="U107">
        <f t="shared" si="59"/>
        <v>0.55923222653623594</v>
      </c>
      <c r="V107">
        <f t="shared" si="59"/>
        <v>0.10281400055490038</v>
      </c>
      <c r="W107">
        <f t="shared" si="59"/>
        <v>0.28286339705629293</v>
      </c>
      <c r="X107">
        <f t="shared" si="59"/>
        <v>0.94490962414743629</v>
      </c>
      <c r="Y107">
        <f t="shared" si="59"/>
        <v>0</v>
      </c>
      <c r="Z107">
        <f t="shared" si="59"/>
        <v>1.288921872845903E-2</v>
      </c>
      <c r="AA107">
        <f t="shared" si="59"/>
        <v>0.12859243801181844</v>
      </c>
      <c r="AB107">
        <f t="shared" si="59"/>
        <v>3.856773976111507E-2</v>
      </c>
      <c r="AC107">
        <f t="shared" si="59"/>
        <v>1.0670074945828978</v>
      </c>
      <c r="AD107">
        <f t="shared" si="59"/>
        <v>0.14138174031602255</v>
      </c>
      <c r="AE107">
        <f t="shared" si="59"/>
        <v>0.10930856813125735</v>
      </c>
      <c r="AF107">
        <f t="shared" si="59"/>
        <v>0.18644404765349459</v>
      </c>
      <c r="AG107">
        <f t="shared" si="59"/>
        <v>0.39207204876330243</v>
      </c>
      <c r="AH107">
        <f t="shared" si="59"/>
        <v>3.856773976111507E-2</v>
      </c>
      <c r="AI107">
        <f t="shared" si="59"/>
        <v>0.15427095904447446</v>
      </c>
      <c r="AJ107">
        <f t="shared" si="59"/>
        <v>4.4962390913224223E-2</v>
      </c>
      <c r="AK107">
        <f t="shared" si="59"/>
        <v>6.3946511521020535E-3</v>
      </c>
      <c r="AL107">
        <f t="shared" si="59"/>
        <v>2.5678521032663139E-2</v>
      </c>
      <c r="AM107">
        <f t="shared" si="59"/>
        <v>48.383229530324734</v>
      </c>
      <c r="AN107">
        <f t="shared" si="56"/>
        <v>58.699999999999996</v>
      </c>
    </row>
    <row r="108" spans="1:42" x14ac:dyDescent="0.25">
      <c r="A108">
        <v>350131012</v>
      </c>
      <c r="B108">
        <v>32.281388999999997</v>
      </c>
      <c r="C108">
        <v>-106.767222</v>
      </c>
      <c r="D108" t="s">
        <v>50</v>
      </c>
      <c r="E108" t="s">
        <v>51</v>
      </c>
      <c r="G108" t="s">
        <v>62</v>
      </c>
      <c r="H108" t="s">
        <v>62</v>
      </c>
      <c r="I108" t="s">
        <v>62</v>
      </c>
      <c r="J108" t="s">
        <v>62</v>
      </c>
      <c r="K108" t="s">
        <v>62</v>
      </c>
      <c r="L108" t="s">
        <v>62</v>
      </c>
      <c r="M108" t="s">
        <v>62</v>
      </c>
      <c r="N108" t="s">
        <v>62</v>
      </c>
      <c r="O108" t="s">
        <v>62</v>
      </c>
      <c r="P108" t="s">
        <v>62</v>
      </c>
      <c r="Q108" t="s">
        <v>62</v>
      </c>
      <c r="R108" t="s">
        <v>62</v>
      </c>
      <c r="S108" t="s">
        <v>62</v>
      </c>
      <c r="T108" t="s">
        <v>62</v>
      </c>
      <c r="U108" t="s">
        <v>62</v>
      </c>
      <c r="V108" t="s">
        <v>62</v>
      </c>
      <c r="W108" t="s">
        <v>62</v>
      </c>
      <c r="X108" t="s">
        <v>62</v>
      </c>
      <c r="Y108" t="s">
        <v>62</v>
      </c>
      <c r="Z108" t="s">
        <v>62</v>
      </c>
      <c r="AA108" t="s">
        <v>62</v>
      </c>
      <c r="AB108" t="s">
        <v>62</v>
      </c>
      <c r="AC108" t="s">
        <v>62</v>
      </c>
      <c r="AD108" t="s">
        <v>62</v>
      </c>
      <c r="AE108" t="s">
        <v>62</v>
      </c>
      <c r="AF108" t="s">
        <v>62</v>
      </c>
      <c r="AG108" t="s">
        <v>62</v>
      </c>
      <c r="AH108" t="s">
        <v>62</v>
      </c>
      <c r="AI108" t="s">
        <v>62</v>
      </c>
      <c r="AJ108" t="s">
        <v>62</v>
      </c>
      <c r="AK108" t="s">
        <v>62</v>
      </c>
      <c r="AL108" t="s">
        <v>62</v>
      </c>
      <c r="AM108" t="s">
        <v>62</v>
      </c>
      <c r="AN108" t="s">
        <v>62</v>
      </c>
    </row>
    <row r="109" spans="1:42" x14ac:dyDescent="0.25">
      <c r="A109">
        <v>350151005</v>
      </c>
      <c r="B109">
        <v>32.380000000000003</v>
      </c>
      <c r="C109">
        <v>-104.26222199999999</v>
      </c>
      <c r="D109" t="s">
        <v>50</v>
      </c>
      <c r="E109" t="s">
        <v>52</v>
      </c>
      <c r="G109">
        <f t="shared" ref="G109:AM109" si="60">G90*$AP90</f>
        <v>0.28845540215702126</v>
      </c>
      <c r="H109">
        <f t="shared" si="60"/>
        <v>0.58401916958150013</v>
      </c>
      <c r="I109">
        <f t="shared" si="60"/>
        <v>0.62728747990505695</v>
      </c>
      <c r="J109">
        <f t="shared" si="60"/>
        <v>2.1634155161778426E-2</v>
      </c>
      <c r="K109">
        <f t="shared" si="60"/>
        <v>5.7691080431404251E-2</v>
      </c>
      <c r="L109">
        <f t="shared" si="60"/>
        <v>7.2113850539163816E-3</v>
      </c>
      <c r="M109">
        <f t="shared" si="60"/>
        <v>7.2113850539163816E-3</v>
      </c>
      <c r="N109">
        <f t="shared" si="60"/>
        <v>0.19460437666950312</v>
      </c>
      <c r="O109">
        <f t="shared" si="60"/>
        <v>0.20191878150992221</v>
      </c>
      <c r="P109">
        <f t="shared" si="60"/>
        <v>0.25229545710090734</v>
      </c>
      <c r="Q109">
        <f t="shared" si="60"/>
        <v>0.20191878150992221</v>
      </c>
      <c r="R109">
        <f t="shared" si="60"/>
        <v>3.5953905483137753E-2</v>
      </c>
      <c r="S109">
        <f t="shared" si="60"/>
        <v>0.1298049309706559</v>
      </c>
      <c r="T109">
        <f t="shared" si="60"/>
        <v>0.21623853183128153</v>
      </c>
      <c r="U109">
        <f t="shared" si="60"/>
        <v>0.11527914107632044</v>
      </c>
      <c r="V109">
        <f t="shared" si="60"/>
        <v>2.1634155161778426E-2</v>
      </c>
      <c r="W109">
        <f t="shared" si="60"/>
        <v>2.2932204471484252</v>
      </c>
      <c r="X109">
        <f t="shared" si="60"/>
        <v>3.2811801995362577</v>
      </c>
      <c r="Y109">
        <f t="shared" si="60"/>
        <v>0</v>
      </c>
      <c r="Z109">
        <f t="shared" si="60"/>
        <v>6.4902465485320637E-2</v>
      </c>
      <c r="AA109">
        <f t="shared" si="60"/>
        <v>0.11527914107632044</v>
      </c>
      <c r="AB109">
        <f t="shared" si="60"/>
        <v>7.9325235593182677E-2</v>
      </c>
      <c r="AC109">
        <f t="shared" si="60"/>
        <v>1.8244804186432455</v>
      </c>
      <c r="AD109">
        <f t="shared" si="60"/>
        <v>5.0376675590985159E-2</v>
      </c>
      <c r="AE109">
        <f t="shared" si="60"/>
        <v>4.3268310323542211E-2</v>
      </c>
      <c r="AF109">
        <f t="shared" si="60"/>
        <v>7.2010830752763585E-2</v>
      </c>
      <c r="AG109">
        <f t="shared" si="60"/>
        <v>1.4319750321359329E-2</v>
      </c>
      <c r="AH109">
        <f t="shared" si="60"/>
        <v>1.4319750321359329E-2</v>
      </c>
      <c r="AI109">
        <f t="shared" si="60"/>
        <v>3.5953905483137753E-2</v>
      </c>
      <c r="AJ109">
        <f t="shared" si="60"/>
        <v>7.2113850539163816E-3</v>
      </c>
      <c r="AK109">
        <f t="shared" si="60"/>
        <v>0</v>
      </c>
      <c r="AL109">
        <f t="shared" si="60"/>
        <v>7.2113850539163816E-3</v>
      </c>
      <c r="AM109">
        <f t="shared" si="60"/>
        <v>56.933781980958244</v>
      </c>
      <c r="AN109">
        <f t="shared" si="56"/>
        <v>67.8</v>
      </c>
    </row>
    <row r="110" spans="1:42" x14ac:dyDescent="0.25">
      <c r="A110">
        <v>350171003</v>
      </c>
      <c r="B110">
        <v>32.691943999999999</v>
      </c>
      <c r="C110">
        <v>-108.124444</v>
      </c>
      <c r="D110" t="s">
        <v>50</v>
      </c>
      <c r="E110" t="s">
        <v>53</v>
      </c>
      <c r="G110">
        <f t="shared" ref="G110:AM110" si="61">G91*$AP91</f>
        <v>0.67154809299348217</v>
      </c>
      <c r="H110">
        <f t="shared" si="61"/>
        <v>0.32580055996713458</v>
      </c>
      <c r="I110">
        <f t="shared" si="61"/>
        <v>0.59840919177637009</v>
      </c>
      <c r="J110">
        <f t="shared" si="61"/>
        <v>0.17942046536337974</v>
      </c>
      <c r="K110">
        <f t="shared" si="61"/>
        <v>0.11293055516600045</v>
      </c>
      <c r="L110">
        <f t="shared" si="61"/>
        <v>6.6489910197401105E-3</v>
      </c>
      <c r="M110">
        <f t="shared" si="61"/>
        <v>2.6493671909415355E-2</v>
      </c>
      <c r="N110">
        <f t="shared" si="61"/>
        <v>2.6493671909415355E-2</v>
      </c>
      <c r="O110">
        <f t="shared" si="61"/>
        <v>0.56506194450814629</v>
      </c>
      <c r="P110">
        <f t="shared" si="61"/>
        <v>0.19271844740285268</v>
      </c>
      <c r="Q110">
        <f t="shared" si="61"/>
        <v>0.17277147434363962</v>
      </c>
      <c r="R110">
        <f t="shared" si="61"/>
        <v>0.37224120493576296</v>
      </c>
      <c r="S110">
        <f t="shared" si="61"/>
        <v>0.41223744322371964</v>
      </c>
      <c r="T110">
        <f t="shared" si="61"/>
        <v>0.11968183835527837</v>
      </c>
      <c r="U110">
        <f t="shared" si="61"/>
        <v>0.41888643424345978</v>
      </c>
      <c r="V110">
        <f t="shared" si="61"/>
        <v>0.24591037556075176</v>
      </c>
      <c r="W110">
        <f t="shared" si="61"/>
        <v>0.31240028575812379</v>
      </c>
      <c r="X110">
        <f t="shared" si="61"/>
        <v>0.92420975174350462</v>
      </c>
      <c r="Y110">
        <f t="shared" si="61"/>
        <v>6.6489910197401105E-3</v>
      </c>
      <c r="Z110">
        <f t="shared" si="61"/>
        <v>3.3244955098686017E-2</v>
      </c>
      <c r="AA110">
        <f t="shared" si="61"/>
        <v>8.6436883256585093E-2</v>
      </c>
      <c r="AB110">
        <f t="shared" si="61"/>
        <v>2.6493671909415355E-2</v>
      </c>
      <c r="AC110">
        <f t="shared" si="61"/>
        <v>0.51851900736998724</v>
      </c>
      <c r="AD110">
        <f t="shared" si="61"/>
        <v>0.20601642944232565</v>
      </c>
      <c r="AE110">
        <f t="shared" si="61"/>
        <v>2.6493671909415355E-2</v>
      </c>
      <c r="AF110">
        <f t="shared" si="61"/>
        <v>7.313890121711214E-2</v>
      </c>
      <c r="AG110">
        <f t="shared" si="61"/>
        <v>0.19946973059212336</v>
      </c>
      <c r="AH110">
        <f t="shared" si="61"/>
        <v>9.2983582106794652E-2</v>
      </c>
      <c r="AI110">
        <f t="shared" si="61"/>
        <v>3.9791653948895576E-2</v>
      </c>
      <c r="AJ110">
        <f t="shared" si="61"/>
        <v>1.3297982039480221E-2</v>
      </c>
      <c r="AK110">
        <f t="shared" si="61"/>
        <v>6.6489910197401105E-3</v>
      </c>
      <c r="AL110">
        <f t="shared" si="61"/>
        <v>7.9685600067314427E-2</v>
      </c>
      <c r="AM110">
        <f t="shared" si="61"/>
        <v>54.90726554882221</v>
      </c>
      <c r="AN110">
        <f t="shared" si="56"/>
        <v>62</v>
      </c>
    </row>
    <row r="111" spans="1:42" x14ac:dyDescent="0.25">
      <c r="A111">
        <v>350290003</v>
      </c>
      <c r="B111">
        <v>32.255800000000001</v>
      </c>
      <c r="C111">
        <v>-107.7227</v>
      </c>
      <c r="D111" t="s">
        <v>50</v>
      </c>
      <c r="E111" t="s">
        <v>54</v>
      </c>
      <c r="G111">
        <f t="shared" ref="G111:AM111" si="62">G92*$AP92</f>
        <v>0.49727050745835494</v>
      </c>
      <c r="H111">
        <f t="shared" si="62"/>
        <v>0.49079404989276049</v>
      </c>
      <c r="I111">
        <f t="shared" si="62"/>
        <v>0.54189734787128463</v>
      </c>
      <c r="J111">
        <f t="shared" si="62"/>
        <v>0.11475473249038849</v>
      </c>
      <c r="K111">
        <f t="shared" si="62"/>
        <v>0.10190301200866532</v>
      </c>
      <c r="L111">
        <f t="shared" si="62"/>
        <v>6.274068266670106E-3</v>
      </c>
      <c r="M111">
        <f t="shared" si="62"/>
        <v>0</v>
      </c>
      <c r="N111">
        <f t="shared" si="62"/>
        <v>0.85428523076179219</v>
      </c>
      <c r="O111">
        <f t="shared" si="62"/>
        <v>0.79680666986713933</v>
      </c>
      <c r="P111">
        <f t="shared" si="62"/>
        <v>0.45264366704543246</v>
      </c>
      <c r="Q111">
        <f t="shared" si="62"/>
        <v>0.31866195115717771</v>
      </c>
      <c r="R111">
        <f t="shared" si="62"/>
        <v>0.21665774449905381</v>
      </c>
      <c r="S111">
        <f t="shared" si="62"/>
        <v>0.33141247698944232</v>
      </c>
      <c r="T111">
        <f t="shared" si="62"/>
        <v>0.24863525372917747</v>
      </c>
      <c r="U111">
        <f t="shared" si="62"/>
        <v>0.35063946038730137</v>
      </c>
      <c r="V111">
        <f t="shared" si="62"/>
        <v>0.14663104707105357</v>
      </c>
      <c r="W111">
        <f t="shared" si="62"/>
        <v>0.38251577496796646</v>
      </c>
      <c r="X111">
        <f t="shared" si="62"/>
        <v>1.5236878369557372</v>
      </c>
      <c r="Y111">
        <f t="shared" si="62"/>
        <v>0</v>
      </c>
      <c r="Z111">
        <f t="shared" si="62"/>
        <v>2.5399857015070585E-2</v>
      </c>
      <c r="AA111">
        <f t="shared" si="62"/>
        <v>0.11475473249038849</v>
      </c>
      <c r="AB111">
        <f t="shared" si="62"/>
        <v>6.3752629161330135E-2</v>
      </c>
      <c r="AC111">
        <f t="shared" si="62"/>
        <v>0.86055929902846229</v>
      </c>
      <c r="AD111">
        <f t="shared" si="62"/>
        <v>0.15938157290331817</v>
      </c>
      <c r="AE111">
        <f t="shared" si="62"/>
        <v>3.8150382847335178E-2</v>
      </c>
      <c r="AF111">
        <f t="shared" si="62"/>
        <v>0.17850736165171863</v>
      </c>
      <c r="AG111">
        <f t="shared" si="62"/>
        <v>0.31238788289050762</v>
      </c>
      <c r="AH111">
        <f t="shared" si="62"/>
        <v>5.7377366245194246E-2</v>
      </c>
      <c r="AI111">
        <f t="shared" si="62"/>
        <v>5.7377366245194246E-2</v>
      </c>
      <c r="AJ111">
        <f t="shared" si="62"/>
        <v>3.8150382847335178E-2</v>
      </c>
      <c r="AK111">
        <f t="shared" si="62"/>
        <v>6.274068266670106E-3</v>
      </c>
      <c r="AL111">
        <f t="shared" si="62"/>
        <v>3.1775119931206477E-2</v>
      </c>
      <c r="AM111">
        <f t="shared" si="62"/>
        <v>49.280681147056868</v>
      </c>
      <c r="AN111">
        <f t="shared" si="56"/>
        <v>58.6</v>
      </c>
    </row>
    <row r="112" spans="1:42" ht="14.45" x14ac:dyDescent="0.3">
      <c r="A112">
        <v>481410029</v>
      </c>
      <c r="B112">
        <v>31.785768999999998</v>
      </c>
      <c r="C112">
        <v>-106.323578</v>
      </c>
      <c r="D112" t="s">
        <v>55</v>
      </c>
      <c r="E112" t="s">
        <v>56</v>
      </c>
      <c r="G112">
        <f t="shared" ref="G112:AM112" si="63">G93*$AP93</f>
        <v>0.4025898271452874</v>
      </c>
      <c r="H112">
        <f t="shared" si="63"/>
        <v>0.68180535242347029</v>
      </c>
      <c r="I112">
        <f t="shared" si="63"/>
        <v>1.6167527946698157</v>
      </c>
      <c r="J112">
        <f t="shared" si="63"/>
        <v>0.12976778795576352</v>
      </c>
      <c r="K112">
        <f t="shared" si="63"/>
        <v>3.8860407632632724E-2</v>
      </c>
      <c r="L112">
        <f t="shared" si="63"/>
        <v>6.3934860886589676E-3</v>
      </c>
      <c r="M112">
        <f t="shared" si="63"/>
        <v>0</v>
      </c>
      <c r="N112">
        <f t="shared" si="63"/>
        <v>1.2986768617588084E-2</v>
      </c>
      <c r="O112">
        <f t="shared" si="63"/>
        <v>0.35064275267492795</v>
      </c>
      <c r="P112">
        <f t="shared" si="63"/>
        <v>2.3115449157108809</v>
      </c>
      <c r="Q112">
        <f t="shared" si="63"/>
        <v>1.6298394615075424</v>
      </c>
      <c r="R112">
        <f t="shared" si="63"/>
        <v>0.15584122341107831</v>
      </c>
      <c r="S112">
        <f t="shared" si="63"/>
        <v>0.21418178397009671</v>
      </c>
      <c r="T112">
        <f t="shared" si="63"/>
        <v>0.98050103062803873</v>
      </c>
      <c r="U112">
        <f t="shared" si="63"/>
        <v>1.3115637321564495</v>
      </c>
      <c r="V112">
        <f t="shared" si="63"/>
        <v>0.10379425072058734</v>
      </c>
      <c r="W112">
        <f t="shared" si="63"/>
        <v>0.21418178397009671</v>
      </c>
      <c r="X112">
        <f t="shared" si="63"/>
        <v>0.66881858380588211</v>
      </c>
      <c r="Y112">
        <f t="shared" si="63"/>
        <v>0</v>
      </c>
      <c r="Z112">
        <f t="shared" si="63"/>
        <v>1.2986768617588084E-2</v>
      </c>
      <c r="AA112">
        <f t="shared" si="63"/>
        <v>5.1947074470359435E-2</v>
      </c>
      <c r="AB112">
        <f t="shared" si="63"/>
        <v>7.7820713485404078E-2</v>
      </c>
      <c r="AC112">
        <f t="shared" si="63"/>
        <v>0.99998118355442445</v>
      </c>
      <c r="AD112">
        <f t="shared" si="63"/>
        <v>9.7300866411789755E-2</v>
      </c>
      <c r="AE112">
        <f t="shared" si="63"/>
        <v>1.938025470624705E-2</v>
      </c>
      <c r="AF112">
        <f t="shared" si="63"/>
        <v>0.86362011306973185</v>
      </c>
      <c r="AG112">
        <f t="shared" si="63"/>
        <v>1.4415313165524832</v>
      </c>
      <c r="AH112">
        <f t="shared" si="63"/>
        <v>3.8860407632632724E-2</v>
      </c>
      <c r="AI112">
        <f t="shared" si="63"/>
        <v>3.2367023323842233E-2</v>
      </c>
      <c r="AJ112">
        <f t="shared" si="63"/>
        <v>0.41557659576288258</v>
      </c>
      <c r="AK112">
        <f t="shared" si="63"/>
        <v>4.5453690161561845E-2</v>
      </c>
      <c r="AL112">
        <f t="shared" si="63"/>
        <v>2.5873639015044643E-2</v>
      </c>
      <c r="AM112">
        <f t="shared" si="63"/>
        <v>43.447234410147203</v>
      </c>
      <c r="AN112">
        <f t="shared" si="56"/>
        <v>58.399999999999991</v>
      </c>
    </row>
    <row r="113" spans="1:40" ht="14.45" x14ac:dyDescent="0.3">
      <c r="A113">
        <v>481410037</v>
      </c>
      <c r="B113">
        <v>31.768291000000001</v>
      </c>
      <c r="C113">
        <v>-106.50126</v>
      </c>
      <c r="D113" t="s">
        <v>55</v>
      </c>
      <c r="E113" t="s">
        <v>56</v>
      </c>
      <c r="G113">
        <f t="shared" ref="G113:AM113" si="64">G94*$AP94</f>
        <v>0.44799673111249438</v>
      </c>
      <c r="H113">
        <f t="shared" si="64"/>
        <v>0.75367212198112787</v>
      </c>
      <c r="I113">
        <f t="shared" si="64"/>
        <v>1.5573219700577272</v>
      </c>
      <c r="J113">
        <f t="shared" si="64"/>
        <v>8.5332710688094837E-2</v>
      </c>
      <c r="K113">
        <f t="shared" si="64"/>
        <v>3.5455140356330815E-2</v>
      </c>
      <c r="L113">
        <f t="shared" si="64"/>
        <v>7.0109034602944603E-3</v>
      </c>
      <c r="M113">
        <f t="shared" si="64"/>
        <v>7.0109034602944603E-3</v>
      </c>
      <c r="N113">
        <f t="shared" si="64"/>
        <v>4.9777414568056511E-2</v>
      </c>
      <c r="O113">
        <f t="shared" si="64"/>
        <v>0.42666355344047419</v>
      </c>
      <c r="P113">
        <f t="shared" si="64"/>
        <v>1.7349982948942042</v>
      </c>
      <c r="Q113">
        <f t="shared" si="64"/>
        <v>1.9128749312581248</v>
      </c>
      <c r="R113">
        <f t="shared" si="64"/>
        <v>8.5332710688094837E-2</v>
      </c>
      <c r="S113">
        <f t="shared" si="64"/>
        <v>0.26310919128830074</v>
      </c>
      <c r="T113">
        <f t="shared" si="64"/>
        <v>0.76088333696885158</v>
      </c>
      <c r="U113">
        <f t="shared" si="64"/>
        <v>1.393667452141832</v>
      </c>
      <c r="V113">
        <f t="shared" si="64"/>
        <v>5.6888473792072715E-2</v>
      </c>
      <c r="W113">
        <f t="shared" si="64"/>
        <v>0.31288660585635725</v>
      </c>
      <c r="X113">
        <f t="shared" si="64"/>
        <v>1.016881469033136</v>
      </c>
      <c r="Y113">
        <f t="shared" si="64"/>
        <v>0</v>
      </c>
      <c r="Z113">
        <f t="shared" si="64"/>
        <v>2.1333177672034385E-2</v>
      </c>
      <c r="AA113">
        <f t="shared" si="64"/>
        <v>9.2443769912111048E-2</v>
      </c>
      <c r="AB113">
        <f t="shared" si="64"/>
        <v>7.1110592240090892E-2</v>
      </c>
      <c r="AC113">
        <f t="shared" si="64"/>
        <v>1.585666051190042</v>
      </c>
      <c r="AD113">
        <f t="shared" si="64"/>
        <v>9.9454673372391278E-2</v>
      </c>
      <c r="AE113">
        <f t="shared" si="64"/>
        <v>2.1333177672034385E-2</v>
      </c>
      <c r="AF113">
        <f t="shared" si="64"/>
        <v>0.99554829136110179</v>
      </c>
      <c r="AG113">
        <f t="shared" si="64"/>
        <v>2.0407738415265455</v>
      </c>
      <c r="AH113">
        <f t="shared" si="64"/>
        <v>2.1333177672034385E-2</v>
      </c>
      <c r="AI113">
        <f t="shared" si="64"/>
        <v>4.2566199580332795E-2</v>
      </c>
      <c r="AJ113">
        <f t="shared" si="64"/>
        <v>0.28434221319659914</v>
      </c>
      <c r="AK113">
        <f t="shared" si="64"/>
        <v>9.9454673372391278E-2</v>
      </c>
      <c r="AL113">
        <f t="shared" si="64"/>
        <v>1.4121962684296434E-2</v>
      </c>
      <c r="AM113">
        <f t="shared" si="64"/>
        <v>48.902754283502134</v>
      </c>
      <c r="AN113">
        <f t="shared" si="56"/>
        <v>65.2</v>
      </c>
    </row>
    <row r="114" spans="1:40" ht="14.45" x14ac:dyDescent="0.3">
      <c r="A114">
        <v>481410044</v>
      </c>
      <c r="B114">
        <v>31.765685000000001</v>
      </c>
      <c r="C114">
        <v>-106.45522699999999</v>
      </c>
      <c r="D114" t="s">
        <v>55</v>
      </c>
      <c r="E114" t="s">
        <v>56</v>
      </c>
      <c r="G114">
        <f t="shared" ref="G114:AM114" si="65">G95*$AP95</f>
        <v>0.54596626844694418</v>
      </c>
      <c r="H114">
        <f t="shared" si="65"/>
        <v>0.71860857343640616</v>
      </c>
      <c r="I114">
        <f t="shared" si="65"/>
        <v>1.6515179198875614</v>
      </c>
      <c r="J114">
        <f t="shared" si="65"/>
        <v>0.14510365425158092</v>
      </c>
      <c r="K114">
        <f t="shared" si="65"/>
        <v>4.145818692902617E-2</v>
      </c>
      <c r="L114">
        <f t="shared" si="65"/>
        <v>7.0098383696394935E-3</v>
      </c>
      <c r="M114">
        <f t="shared" si="65"/>
        <v>0</v>
      </c>
      <c r="N114">
        <f t="shared" si="65"/>
        <v>1.391953619114504E-2</v>
      </c>
      <c r="O114">
        <f t="shared" si="65"/>
        <v>0.51131763879128955</v>
      </c>
      <c r="P114">
        <f t="shared" si="65"/>
        <v>1.8517990161630384</v>
      </c>
      <c r="Q114">
        <f t="shared" si="65"/>
        <v>1.7966215741391423</v>
      </c>
      <c r="R114">
        <f t="shared" si="65"/>
        <v>0.15902319044272598</v>
      </c>
      <c r="S114">
        <f t="shared" si="65"/>
        <v>0.29711700632466737</v>
      </c>
      <c r="T114">
        <f t="shared" si="65"/>
        <v>0.81544448348559639</v>
      </c>
      <c r="U114">
        <f t="shared" si="65"/>
        <v>1.4579462403373147</v>
      </c>
      <c r="V114">
        <f t="shared" si="65"/>
        <v>0.10364546732256187</v>
      </c>
      <c r="W114">
        <f t="shared" si="65"/>
        <v>0.2764880534082918</v>
      </c>
      <c r="X114">
        <f t="shared" si="65"/>
        <v>0.88454146170063053</v>
      </c>
      <c r="Y114">
        <f t="shared" si="65"/>
        <v>0</v>
      </c>
      <c r="Z114">
        <f t="shared" si="65"/>
        <v>1.391953619114504E-2</v>
      </c>
      <c r="AA114">
        <f t="shared" si="65"/>
        <v>6.9197118763175192E-2</v>
      </c>
      <c r="AB114">
        <f t="shared" si="65"/>
        <v>6.9197118763175192E-2</v>
      </c>
      <c r="AC114">
        <f t="shared" si="65"/>
        <v>1.3473910751932545</v>
      </c>
      <c r="AD114">
        <f t="shared" si="65"/>
        <v>0.10364546732256187</v>
      </c>
      <c r="AE114">
        <f t="shared" si="65"/>
        <v>2.0729093464509529E-2</v>
      </c>
      <c r="AF114">
        <f t="shared" si="65"/>
        <v>1.2713843991567149</v>
      </c>
      <c r="AG114">
        <f t="shared" si="65"/>
        <v>1.6928759662684465</v>
      </c>
      <c r="AH114">
        <f t="shared" si="65"/>
        <v>3.4548489107520619E-2</v>
      </c>
      <c r="AI114">
        <f t="shared" si="65"/>
        <v>4.145818692902617E-2</v>
      </c>
      <c r="AJ114">
        <f t="shared" si="65"/>
        <v>0.3041268446943069</v>
      </c>
      <c r="AK114">
        <f t="shared" si="65"/>
        <v>7.6106816584680742E-2</v>
      </c>
      <c r="AL114">
        <f t="shared" si="65"/>
        <v>2.0729093464509529E-2</v>
      </c>
      <c r="AM114">
        <f t="shared" si="65"/>
        <v>46.357162684469422</v>
      </c>
      <c r="AN114">
        <f t="shared" si="56"/>
        <v>62.7</v>
      </c>
    </row>
    <row r="115" spans="1:40" ht="14.45" x14ac:dyDescent="0.3">
      <c r="A115">
        <v>481410055</v>
      </c>
      <c r="B115">
        <v>31.746775</v>
      </c>
      <c r="C115">
        <v>-106.402806</v>
      </c>
      <c r="D115" t="s">
        <v>55</v>
      </c>
      <c r="E115" t="s">
        <v>56</v>
      </c>
      <c r="G115">
        <f t="shared" ref="G115:AM115" si="66">G96*$AP96</f>
        <v>0.50400830087841464</v>
      </c>
      <c r="H115">
        <f t="shared" si="66"/>
        <v>0.70963162761764342</v>
      </c>
      <c r="I115">
        <f t="shared" si="66"/>
        <v>1.6051885506739865</v>
      </c>
      <c r="J115">
        <f t="shared" si="66"/>
        <v>0.14582573171975599</v>
      </c>
      <c r="K115">
        <f t="shared" si="66"/>
        <v>3.9697563080158177E-2</v>
      </c>
      <c r="L115">
        <f t="shared" si="66"/>
        <v>6.63301053997397E-3</v>
      </c>
      <c r="M115">
        <f t="shared" si="66"/>
        <v>6.63301053997397E-3</v>
      </c>
      <c r="N115">
        <f t="shared" si="66"/>
        <v>1.9798531460229123E-2</v>
      </c>
      <c r="O115">
        <f t="shared" si="66"/>
        <v>0.4510447167183157</v>
      </c>
      <c r="P115">
        <f t="shared" si="66"/>
        <v>1.9965361725325221</v>
      </c>
      <c r="Q115">
        <f t="shared" si="66"/>
        <v>1.8837749933529433</v>
      </c>
      <c r="R115">
        <f t="shared" si="66"/>
        <v>0.16582526349937782</v>
      </c>
      <c r="S115">
        <f t="shared" si="66"/>
        <v>0.27195343213898276</v>
      </c>
      <c r="T115">
        <f t="shared" si="66"/>
        <v>0.85555785949709939</v>
      </c>
      <c r="U115">
        <f t="shared" si="66"/>
        <v>1.4061982344747317</v>
      </c>
      <c r="V115">
        <f t="shared" si="66"/>
        <v>0.10602766847990502</v>
      </c>
      <c r="W115">
        <f t="shared" si="66"/>
        <v>0.26532042159900882</v>
      </c>
      <c r="X115">
        <f t="shared" si="66"/>
        <v>0.85555785949709939</v>
      </c>
      <c r="Y115">
        <f t="shared" si="66"/>
        <v>0</v>
      </c>
      <c r="Z115">
        <f t="shared" si="66"/>
        <v>1.9798531460229123E-2</v>
      </c>
      <c r="AA115">
        <f t="shared" si="66"/>
        <v>6.633010539975398E-2</v>
      </c>
      <c r="AB115">
        <f t="shared" si="66"/>
        <v>7.959612647970192E-2</v>
      </c>
      <c r="AC115">
        <f t="shared" si="66"/>
        <v>1.1540433337959779</v>
      </c>
      <c r="AD115">
        <f t="shared" si="66"/>
        <v>0.10602766847990502</v>
      </c>
      <c r="AE115">
        <f t="shared" si="66"/>
        <v>2.6431542000203093E-2</v>
      </c>
      <c r="AF115">
        <f t="shared" si="66"/>
        <v>0.87555739127672116</v>
      </c>
      <c r="AG115">
        <f t="shared" si="66"/>
        <v>1.5985555401340126</v>
      </c>
      <c r="AH115">
        <f t="shared" si="66"/>
        <v>3.9697563080158177E-2</v>
      </c>
      <c r="AI115">
        <f t="shared" si="66"/>
        <v>3.9697563080158177E-2</v>
      </c>
      <c r="AJ115">
        <f t="shared" si="66"/>
        <v>0.34481604791901077</v>
      </c>
      <c r="AK115">
        <f t="shared" si="66"/>
        <v>5.9697094859780017E-2</v>
      </c>
      <c r="AL115">
        <f t="shared" si="66"/>
        <v>2.6431542000203093E-2</v>
      </c>
      <c r="AM115">
        <f t="shared" si="66"/>
        <v>44.368107001734067</v>
      </c>
      <c r="AN115">
        <f t="shared" si="56"/>
        <v>60.100000000000009</v>
      </c>
    </row>
    <row r="116" spans="1:40" ht="14.45" x14ac:dyDescent="0.3">
      <c r="A116">
        <v>481410057</v>
      </c>
      <c r="B116">
        <v>31.6675</v>
      </c>
      <c r="C116">
        <v>-106.288</v>
      </c>
      <c r="D116" t="s">
        <v>55</v>
      </c>
      <c r="E116" t="s">
        <v>56</v>
      </c>
      <c r="G116">
        <f t="shared" ref="G116:AM116" si="67">G97*$AP97</f>
        <v>0.46900861787611181</v>
      </c>
      <c r="H116">
        <f t="shared" si="67"/>
        <v>0.71332147238647559</v>
      </c>
      <c r="I116">
        <f t="shared" si="67"/>
        <v>1.4333487871540245</v>
      </c>
      <c r="J116">
        <f t="shared" si="67"/>
        <v>0.18486105787818435</v>
      </c>
      <c r="K116">
        <f t="shared" si="67"/>
        <v>3.9534443888401223E-2</v>
      </c>
      <c r="L116">
        <f t="shared" si="67"/>
        <v>0</v>
      </c>
      <c r="M116">
        <f t="shared" si="67"/>
        <v>1.3211510362704971E-2</v>
      </c>
      <c r="N116">
        <f t="shared" si="67"/>
        <v>3.9534443888401223E-2</v>
      </c>
      <c r="O116">
        <f t="shared" si="67"/>
        <v>0.42927399958826895</v>
      </c>
      <c r="P116">
        <f t="shared" si="67"/>
        <v>1.9155689153928412</v>
      </c>
      <c r="Q116">
        <f t="shared" si="67"/>
        <v>1.743919367877369</v>
      </c>
      <c r="R116">
        <f t="shared" si="67"/>
        <v>0.27744171761685416</v>
      </c>
      <c r="S116">
        <f t="shared" si="67"/>
        <v>0.25752436487307589</v>
      </c>
      <c r="T116">
        <f t="shared" si="67"/>
        <v>0.81911364248785046</v>
      </c>
      <c r="U116">
        <f t="shared" si="67"/>
        <v>1.2683049948199048</v>
      </c>
      <c r="V116">
        <f t="shared" si="67"/>
        <v>0.16514387953384058</v>
      </c>
      <c r="W116">
        <f t="shared" si="67"/>
        <v>0.23770709932901135</v>
      </c>
      <c r="X116">
        <f t="shared" si="67"/>
        <v>0.79929637694379296</v>
      </c>
      <c r="Y116">
        <f t="shared" si="67"/>
        <v>0</v>
      </c>
      <c r="Z116">
        <f t="shared" si="67"/>
        <v>1.3211510362704971E-2</v>
      </c>
      <c r="AA116">
        <f t="shared" si="67"/>
        <v>5.2745954251113301E-2</v>
      </c>
      <c r="AB116">
        <f t="shared" si="67"/>
        <v>5.9351709432465788E-2</v>
      </c>
      <c r="AC116">
        <f t="shared" si="67"/>
        <v>0.9907631900033298</v>
      </c>
      <c r="AD116">
        <f t="shared" si="67"/>
        <v>0.1584380371527673</v>
      </c>
      <c r="AE116">
        <f t="shared" si="67"/>
        <v>1.9817265544057456E-2</v>
      </c>
      <c r="AF116">
        <f t="shared" si="67"/>
        <v>0.48882588342016925</v>
      </c>
      <c r="AG116">
        <f t="shared" si="67"/>
        <v>1.3210509490710109</v>
      </c>
      <c r="AH116">
        <f t="shared" si="67"/>
        <v>5.9351709432465788E-2</v>
      </c>
      <c r="AI116">
        <f t="shared" si="67"/>
        <v>3.2928688707048737E-2</v>
      </c>
      <c r="AJ116">
        <f t="shared" si="67"/>
        <v>0.29725898316091165</v>
      </c>
      <c r="AK116">
        <f t="shared" si="67"/>
        <v>3.2928688707048737E-2</v>
      </c>
      <c r="AL116">
        <f t="shared" si="67"/>
        <v>3.9534443888401223E-2</v>
      </c>
      <c r="AM116">
        <f t="shared" si="67"/>
        <v>45.42767829496939</v>
      </c>
      <c r="AN116">
        <f t="shared" si="56"/>
        <v>59.8</v>
      </c>
    </row>
    <row r="117" spans="1:40" ht="14.45" x14ac:dyDescent="0.3">
      <c r="A117">
        <v>481410058</v>
      </c>
      <c r="B117">
        <v>31.893913000000001</v>
      </c>
      <c r="C117">
        <v>-106.425827</v>
      </c>
      <c r="D117" t="s">
        <v>55</v>
      </c>
      <c r="E117" t="s">
        <v>56</v>
      </c>
      <c r="G117">
        <f t="shared" ref="G117:AM117" si="68">G98*$AP98</f>
        <v>0.48509086844245625</v>
      </c>
      <c r="H117">
        <f t="shared" si="68"/>
        <v>0.72768628111705591</v>
      </c>
      <c r="I117">
        <f t="shared" si="68"/>
        <v>1.5246426986096759</v>
      </c>
      <c r="J117">
        <f t="shared" si="68"/>
        <v>0.159331309354481</v>
      </c>
      <c r="K117">
        <f t="shared" si="68"/>
        <v>8.3164146413382684E-2</v>
      </c>
      <c r="L117">
        <f t="shared" si="68"/>
        <v>6.8970265655342025E-3</v>
      </c>
      <c r="M117">
        <f t="shared" si="68"/>
        <v>0</v>
      </c>
      <c r="N117">
        <f t="shared" si="68"/>
        <v>1.3794053131068405E-2</v>
      </c>
      <c r="O117">
        <f t="shared" si="68"/>
        <v>0.49898487848026774</v>
      </c>
      <c r="P117">
        <f t="shared" si="68"/>
        <v>2.3701781727812645</v>
      </c>
      <c r="Q117">
        <f t="shared" si="68"/>
        <v>1.3929994524240747</v>
      </c>
      <c r="R117">
        <f t="shared" si="68"/>
        <v>0.18012234595781959</v>
      </c>
      <c r="S117">
        <f t="shared" si="68"/>
        <v>0.28407752897454086</v>
      </c>
      <c r="T117">
        <f t="shared" si="68"/>
        <v>1.0811339033739111</v>
      </c>
      <c r="U117">
        <f t="shared" si="68"/>
        <v>1.1850890863906323</v>
      </c>
      <c r="V117">
        <f t="shared" si="68"/>
        <v>0.11774923614778966</v>
      </c>
      <c r="W117">
        <f t="shared" si="68"/>
        <v>0.27718050240901376</v>
      </c>
      <c r="X117">
        <f t="shared" si="68"/>
        <v>0.86622655386818415</v>
      </c>
      <c r="Y117">
        <f t="shared" si="68"/>
        <v>0</v>
      </c>
      <c r="Z117">
        <f t="shared" si="68"/>
        <v>2.0791036603345671E-2</v>
      </c>
      <c r="AA117">
        <f t="shared" si="68"/>
        <v>6.9270136375564118E-2</v>
      </c>
      <c r="AB117">
        <f t="shared" si="68"/>
        <v>9.0061172978909795E-2</v>
      </c>
      <c r="AC117">
        <f t="shared" si="68"/>
        <v>1.2612562493317305</v>
      </c>
      <c r="AD117">
        <f t="shared" si="68"/>
        <v>0.1455372562234126</v>
      </c>
      <c r="AE117">
        <f t="shared" si="68"/>
        <v>2.0791036603345671E-2</v>
      </c>
      <c r="AF117">
        <f t="shared" si="68"/>
        <v>1.1435070131839409</v>
      </c>
      <c r="AG117">
        <f t="shared" si="68"/>
        <v>1.205880122993978</v>
      </c>
      <c r="AH117">
        <f t="shared" si="68"/>
        <v>4.1582073206691342E-2</v>
      </c>
      <c r="AI117">
        <f t="shared" si="68"/>
        <v>4.1582073206691342E-2</v>
      </c>
      <c r="AJ117">
        <f t="shared" si="68"/>
        <v>0.36724167538792352</v>
      </c>
      <c r="AK117">
        <f t="shared" si="68"/>
        <v>4.8479099772225545E-2</v>
      </c>
      <c r="AL117">
        <f t="shared" si="68"/>
        <v>2.7688063168879874E-2</v>
      </c>
      <c r="AM117">
        <f t="shared" si="68"/>
        <v>45.961984946522215</v>
      </c>
      <c r="AN117">
        <f t="shared" si="56"/>
        <v>61.7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B2" sqref="B2:B9"/>
    </sheetView>
  </sheetViews>
  <sheetFormatPr defaultRowHeight="15" x14ac:dyDescent="0.25"/>
  <cols>
    <col min="1" max="1" width="14.5703125" bestFit="1" customWidth="1"/>
    <col min="2" max="2" width="58" bestFit="1" customWidth="1"/>
    <col min="3" max="3" width="16.7109375" bestFit="1" customWidth="1"/>
    <col min="4" max="4" width="10" bestFit="1" customWidth="1"/>
    <col min="7" max="7" width="34.85546875" bestFit="1" customWidth="1"/>
    <col min="8" max="8" width="19.7109375" bestFit="1" customWidth="1"/>
    <col min="9" max="9" width="17.5703125" bestFit="1" customWidth="1"/>
    <col min="12" max="12" width="10" bestFit="1" customWidth="1"/>
    <col min="13" max="13" width="12" bestFit="1" customWidth="1"/>
    <col min="16" max="16" width="10" bestFit="1" customWidth="1"/>
    <col min="17" max="17" width="53.7109375" bestFit="1" customWidth="1"/>
    <col min="18" max="18" width="10" bestFit="1" customWidth="1"/>
  </cols>
  <sheetData>
    <row r="1" spans="1:18" x14ac:dyDescent="0.25">
      <c r="A1" t="s">
        <v>0</v>
      </c>
      <c r="B1" t="s">
        <v>1</v>
      </c>
      <c r="C1" t="s">
        <v>105</v>
      </c>
      <c r="G1" t="s">
        <v>109</v>
      </c>
      <c r="H1" t="s">
        <v>71</v>
      </c>
      <c r="I1" t="s">
        <v>111</v>
      </c>
      <c r="L1" t="s">
        <v>73</v>
      </c>
      <c r="M1" t="s">
        <v>60</v>
      </c>
      <c r="N1" t="s">
        <v>61</v>
      </c>
      <c r="Q1" t="s">
        <v>148</v>
      </c>
      <c r="R1" t="s">
        <v>73</v>
      </c>
    </row>
    <row r="2" spans="1:18" x14ac:dyDescent="0.25">
      <c r="A2" t="s">
        <v>2</v>
      </c>
      <c r="B2" t="s">
        <v>115</v>
      </c>
      <c r="C2">
        <v>1</v>
      </c>
      <c r="G2" t="s">
        <v>72</v>
      </c>
      <c r="H2" t="s">
        <v>50</v>
      </c>
      <c r="I2" t="s">
        <v>149</v>
      </c>
      <c r="L2">
        <v>350130008</v>
      </c>
      <c r="M2" t="s">
        <v>50</v>
      </c>
      <c r="N2" t="s">
        <v>51</v>
      </c>
      <c r="Q2" s="53" t="str">
        <f>N2&amp;", "&amp;M2&amp;" ("&amp;L2&amp;")"</f>
        <v>Dona Ana, New Mexico (350130008)</v>
      </c>
      <c r="R2">
        <v>350130008</v>
      </c>
    </row>
    <row r="3" spans="1:18" x14ac:dyDescent="0.25">
      <c r="A3" t="s">
        <v>3</v>
      </c>
      <c r="B3" t="s">
        <v>4</v>
      </c>
      <c r="C3">
        <v>2</v>
      </c>
      <c r="G3" t="s">
        <v>74</v>
      </c>
      <c r="H3" t="s">
        <v>55</v>
      </c>
      <c r="I3" t="s">
        <v>149</v>
      </c>
      <c r="L3">
        <v>350130017</v>
      </c>
      <c r="M3" t="s">
        <v>50</v>
      </c>
      <c r="N3" t="s">
        <v>51</v>
      </c>
      <c r="Q3" s="53" t="str">
        <f t="shared" ref="Q3:Q18" si="0">N3&amp;", "&amp;M3&amp;" ("&amp;L3&amp;")"</f>
        <v>Dona Ana, New Mexico (350130017)</v>
      </c>
      <c r="R3">
        <v>350130017</v>
      </c>
    </row>
    <row r="4" spans="1:18" x14ac:dyDescent="0.25">
      <c r="A4" t="s">
        <v>5</v>
      </c>
      <c r="B4" t="s">
        <v>6</v>
      </c>
      <c r="C4">
        <v>3</v>
      </c>
      <c r="G4" t="s">
        <v>75</v>
      </c>
      <c r="H4" t="s">
        <v>117</v>
      </c>
      <c r="I4" t="s">
        <v>149</v>
      </c>
      <c r="L4">
        <v>350130019</v>
      </c>
      <c r="M4" t="s">
        <v>50</v>
      </c>
      <c r="N4" t="s">
        <v>51</v>
      </c>
      <c r="Q4" s="53" t="str">
        <f t="shared" si="0"/>
        <v>Dona Ana, New Mexico (350130019)</v>
      </c>
      <c r="R4">
        <v>350130019</v>
      </c>
    </row>
    <row r="5" spans="1:18" x14ac:dyDescent="0.25">
      <c r="A5" t="s">
        <v>7</v>
      </c>
      <c r="B5" t="s">
        <v>8</v>
      </c>
      <c r="C5">
        <v>4</v>
      </c>
      <c r="G5" t="s">
        <v>76</v>
      </c>
      <c r="H5" t="s">
        <v>154</v>
      </c>
      <c r="I5" t="s">
        <v>149</v>
      </c>
      <c r="L5">
        <v>350130020</v>
      </c>
      <c r="M5" t="s">
        <v>50</v>
      </c>
      <c r="N5" t="s">
        <v>51</v>
      </c>
      <c r="Q5" s="53" t="str">
        <f t="shared" si="0"/>
        <v>Dona Ana, New Mexico (350130020)</v>
      </c>
      <c r="R5">
        <v>350130020</v>
      </c>
    </row>
    <row r="6" spans="1:18" x14ac:dyDescent="0.25">
      <c r="A6" t="s">
        <v>9</v>
      </c>
      <c r="B6" t="s">
        <v>10</v>
      </c>
      <c r="C6">
        <v>5</v>
      </c>
      <c r="G6" t="s">
        <v>77</v>
      </c>
      <c r="H6" t="s">
        <v>50</v>
      </c>
      <c r="I6" t="s">
        <v>150</v>
      </c>
      <c r="L6">
        <v>350130021</v>
      </c>
      <c r="M6" t="s">
        <v>50</v>
      </c>
      <c r="N6" t="s">
        <v>51</v>
      </c>
      <c r="Q6" s="53" t="str">
        <f t="shared" si="0"/>
        <v>Dona Ana, New Mexico (350130021)</v>
      </c>
      <c r="R6">
        <v>350130021</v>
      </c>
    </row>
    <row r="7" spans="1:18" x14ac:dyDescent="0.25">
      <c r="A7" t="s">
        <v>11</v>
      </c>
      <c r="B7" t="s">
        <v>12</v>
      </c>
      <c r="C7">
        <v>6</v>
      </c>
      <c r="G7" t="s">
        <v>78</v>
      </c>
      <c r="H7" t="s">
        <v>55</v>
      </c>
      <c r="I7" t="s">
        <v>150</v>
      </c>
      <c r="L7">
        <v>350130022</v>
      </c>
      <c r="M7" t="s">
        <v>50</v>
      </c>
      <c r="N7" t="s">
        <v>51</v>
      </c>
      <c r="Q7" s="53" t="str">
        <f t="shared" si="0"/>
        <v>Dona Ana, New Mexico (350130022)</v>
      </c>
      <c r="R7">
        <v>350130022</v>
      </c>
    </row>
    <row r="8" spans="1:18" x14ac:dyDescent="0.25">
      <c r="A8" t="s">
        <v>13</v>
      </c>
      <c r="B8" t="s">
        <v>14</v>
      </c>
      <c r="C8">
        <v>7</v>
      </c>
      <c r="G8" t="s">
        <v>79</v>
      </c>
      <c r="H8" t="s">
        <v>117</v>
      </c>
      <c r="I8" t="s">
        <v>150</v>
      </c>
      <c r="L8">
        <v>350130023</v>
      </c>
      <c r="M8" t="s">
        <v>50</v>
      </c>
      <c r="N8" t="s">
        <v>51</v>
      </c>
      <c r="Q8" s="53" t="str">
        <f t="shared" si="0"/>
        <v>Dona Ana, New Mexico (350130023)</v>
      </c>
      <c r="R8">
        <v>350130023</v>
      </c>
    </row>
    <row r="9" spans="1:18" x14ac:dyDescent="0.25">
      <c r="A9" t="s">
        <v>15</v>
      </c>
      <c r="B9" t="s">
        <v>16</v>
      </c>
      <c r="C9">
        <v>8</v>
      </c>
      <c r="G9" t="s">
        <v>80</v>
      </c>
      <c r="H9" t="s">
        <v>154</v>
      </c>
      <c r="I9" t="s">
        <v>150</v>
      </c>
      <c r="L9">
        <v>350131012</v>
      </c>
      <c r="M9" t="s">
        <v>50</v>
      </c>
      <c r="N9" t="s">
        <v>51</v>
      </c>
      <c r="Q9" s="53" t="str">
        <f t="shared" si="0"/>
        <v>Dona Ana, New Mexico (350131012)</v>
      </c>
      <c r="R9">
        <v>350131012</v>
      </c>
    </row>
    <row r="10" spans="1:18" x14ac:dyDescent="0.25">
      <c r="G10" t="s">
        <v>81</v>
      </c>
      <c r="H10" t="s">
        <v>50</v>
      </c>
      <c r="I10" t="s">
        <v>6</v>
      </c>
      <c r="L10">
        <v>350151005</v>
      </c>
      <c r="M10" t="s">
        <v>50</v>
      </c>
      <c r="N10" t="s">
        <v>52</v>
      </c>
      <c r="Q10" s="53" t="str">
        <f t="shared" si="0"/>
        <v>Eddy, New Mexico (350151005)</v>
      </c>
      <c r="R10">
        <v>350151005</v>
      </c>
    </row>
    <row r="11" spans="1:18" x14ac:dyDescent="0.25">
      <c r="A11" t="s">
        <v>106</v>
      </c>
      <c r="B11" t="s">
        <v>107</v>
      </c>
      <c r="C11" t="s">
        <v>108</v>
      </c>
      <c r="G11" t="s">
        <v>82</v>
      </c>
      <c r="H11" t="s">
        <v>55</v>
      </c>
      <c r="I11" t="s">
        <v>6</v>
      </c>
      <c r="L11">
        <v>350171003</v>
      </c>
      <c r="M11" t="s">
        <v>50</v>
      </c>
      <c r="N11" t="s">
        <v>53</v>
      </c>
      <c r="Q11" s="53" t="str">
        <f t="shared" si="0"/>
        <v>Grant, New Mexico (350171003)</v>
      </c>
      <c r="R11">
        <v>350171003</v>
      </c>
    </row>
    <row r="12" spans="1:18" x14ac:dyDescent="0.25">
      <c r="A12" t="s">
        <v>67</v>
      </c>
      <c r="B12" t="s">
        <v>50</v>
      </c>
      <c r="C12">
        <v>1</v>
      </c>
      <c r="G12" t="s">
        <v>83</v>
      </c>
      <c r="H12" t="s">
        <v>117</v>
      </c>
      <c r="I12" t="s">
        <v>6</v>
      </c>
      <c r="L12">
        <v>350290003</v>
      </c>
      <c r="M12" t="s">
        <v>50</v>
      </c>
      <c r="N12" t="s">
        <v>54</v>
      </c>
      <c r="Q12" s="53" t="str">
        <f t="shared" si="0"/>
        <v>Luna, New Mexico (350290003)</v>
      </c>
      <c r="R12">
        <v>350290003</v>
      </c>
    </row>
    <row r="13" spans="1:18" x14ac:dyDescent="0.25">
      <c r="A13" t="s">
        <v>68</v>
      </c>
      <c r="B13" t="s">
        <v>55</v>
      </c>
      <c r="C13">
        <v>2</v>
      </c>
      <c r="G13" t="s">
        <v>84</v>
      </c>
      <c r="H13" t="s">
        <v>154</v>
      </c>
      <c r="I13" t="s">
        <v>6</v>
      </c>
      <c r="L13">
        <v>481410029</v>
      </c>
      <c r="M13" t="s">
        <v>55</v>
      </c>
      <c r="N13" t="s">
        <v>56</v>
      </c>
      <c r="Q13" s="53" t="str">
        <f t="shared" si="0"/>
        <v>El Paso, Texas (481410029)</v>
      </c>
      <c r="R13">
        <v>481410029</v>
      </c>
    </row>
    <row r="14" spans="1:18" x14ac:dyDescent="0.25">
      <c r="A14" t="s">
        <v>69</v>
      </c>
      <c r="B14" t="s">
        <v>117</v>
      </c>
      <c r="C14">
        <v>3</v>
      </c>
      <c r="G14" t="s">
        <v>85</v>
      </c>
      <c r="H14" t="s">
        <v>50</v>
      </c>
      <c r="I14" t="s">
        <v>116</v>
      </c>
      <c r="L14">
        <v>481410037</v>
      </c>
      <c r="M14" t="s">
        <v>55</v>
      </c>
      <c r="N14" t="s">
        <v>56</v>
      </c>
      <c r="Q14" s="53" t="str">
        <f t="shared" si="0"/>
        <v>El Paso, Texas (481410037)</v>
      </c>
      <c r="R14">
        <v>481410037</v>
      </c>
    </row>
    <row r="15" spans="1:18" x14ac:dyDescent="0.25">
      <c r="A15" t="s">
        <v>70</v>
      </c>
      <c r="B15" t="s">
        <v>154</v>
      </c>
      <c r="C15">
        <v>4</v>
      </c>
      <c r="G15" t="s">
        <v>86</v>
      </c>
      <c r="H15" t="s">
        <v>55</v>
      </c>
      <c r="I15" t="s">
        <v>116</v>
      </c>
      <c r="L15">
        <v>481410044</v>
      </c>
      <c r="M15" t="s">
        <v>55</v>
      </c>
      <c r="N15" t="s">
        <v>56</v>
      </c>
      <c r="Q15" s="53" t="str">
        <f t="shared" si="0"/>
        <v>El Paso, Texas (481410044)</v>
      </c>
      <c r="R15">
        <v>481410044</v>
      </c>
    </row>
    <row r="16" spans="1:18" x14ac:dyDescent="0.25">
      <c r="G16" t="s">
        <v>87</v>
      </c>
      <c r="H16" t="s">
        <v>117</v>
      </c>
      <c r="I16" t="s">
        <v>116</v>
      </c>
      <c r="L16">
        <v>481410055</v>
      </c>
      <c r="M16" t="s">
        <v>55</v>
      </c>
      <c r="N16" t="s">
        <v>56</v>
      </c>
      <c r="Q16" s="53" t="str">
        <f t="shared" si="0"/>
        <v>El Paso, Texas (481410055)</v>
      </c>
      <c r="R16">
        <v>481410055</v>
      </c>
    </row>
    <row r="17" spans="7:18" x14ac:dyDescent="0.25">
      <c r="G17" t="s">
        <v>88</v>
      </c>
      <c r="H17" t="s">
        <v>154</v>
      </c>
      <c r="I17" t="s">
        <v>116</v>
      </c>
      <c r="L17">
        <v>481410057</v>
      </c>
      <c r="M17" t="s">
        <v>55</v>
      </c>
      <c r="N17" t="s">
        <v>56</v>
      </c>
      <c r="Q17" s="53" t="str">
        <f t="shared" si="0"/>
        <v>El Paso, Texas (481410057)</v>
      </c>
      <c r="R17">
        <v>481410057</v>
      </c>
    </row>
    <row r="18" spans="7:18" x14ac:dyDescent="0.25">
      <c r="G18" t="s">
        <v>89</v>
      </c>
      <c r="H18" t="s">
        <v>50</v>
      </c>
      <c r="I18" t="s">
        <v>112</v>
      </c>
      <c r="L18">
        <v>481410058</v>
      </c>
      <c r="M18" t="s">
        <v>55</v>
      </c>
      <c r="N18" t="s">
        <v>56</v>
      </c>
      <c r="Q18" s="53" t="str">
        <f t="shared" si="0"/>
        <v>El Paso, Texas (481410058)</v>
      </c>
      <c r="R18">
        <v>481410058</v>
      </c>
    </row>
    <row r="19" spans="7:18" x14ac:dyDescent="0.25">
      <c r="G19" t="s">
        <v>90</v>
      </c>
      <c r="H19" t="s">
        <v>55</v>
      </c>
      <c r="I19" t="s">
        <v>112</v>
      </c>
    </row>
    <row r="20" spans="7:18" x14ac:dyDescent="0.25">
      <c r="G20" t="s">
        <v>91</v>
      </c>
      <c r="H20" t="s">
        <v>117</v>
      </c>
      <c r="I20" t="s">
        <v>112</v>
      </c>
    </row>
    <row r="21" spans="7:18" x14ac:dyDescent="0.25">
      <c r="G21" t="s">
        <v>92</v>
      </c>
      <c r="H21" t="s">
        <v>154</v>
      </c>
      <c r="I21" t="s">
        <v>112</v>
      </c>
    </row>
    <row r="22" spans="7:18" x14ac:dyDescent="0.25">
      <c r="G22" t="s">
        <v>93</v>
      </c>
      <c r="H22" t="s">
        <v>50</v>
      </c>
      <c r="I22" t="s">
        <v>152</v>
      </c>
    </row>
    <row r="23" spans="7:18" x14ac:dyDescent="0.25">
      <c r="G23" t="s">
        <v>94</v>
      </c>
      <c r="H23" t="s">
        <v>55</v>
      </c>
      <c r="I23" t="s">
        <v>152</v>
      </c>
    </row>
    <row r="24" spans="7:18" x14ac:dyDescent="0.25">
      <c r="G24" t="s">
        <v>95</v>
      </c>
      <c r="H24" t="s">
        <v>117</v>
      </c>
      <c r="I24" t="s">
        <v>152</v>
      </c>
    </row>
    <row r="25" spans="7:18" x14ac:dyDescent="0.25">
      <c r="G25" t="s">
        <v>96</v>
      </c>
      <c r="H25" t="s">
        <v>154</v>
      </c>
      <c r="I25" t="s">
        <v>152</v>
      </c>
    </row>
    <row r="26" spans="7:18" x14ac:dyDescent="0.25">
      <c r="G26" t="s">
        <v>97</v>
      </c>
      <c r="H26" t="s">
        <v>50</v>
      </c>
      <c r="I26" t="s">
        <v>151</v>
      </c>
    </row>
    <row r="27" spans="7:18" x14ac:dyDescent="0.25">
      <c r="G27" t="s">
        <v>98</v>
      </c>
      <c r="H27" t="s">
        <v>55</v>
      </c>
      <c r="I27" t="s">
        <v>151</v>
      </c>
    </row>
    <row r="28" spans="7:18" x14ac:dyDescent="0.25">
      <c r="G28" t="s">
        <v>99</v>
      </c>
      <c r="H28" t="s">
        <v>117</v>
      </c>
      <c r="I28" t="s">
        <v>151</v>
      </c>
    </row>
    <row r="29" spans="7:18" x14ac:dyDescent="0.25">
      <c r="G29" t="s">
        <v>100</v>
      </c>
      <c r="H29" t="s">
        <v>154</v>
      </c>
      <c r="I29" t="s">
        <v>151</v>
      </c>
    </row>
    <row r="30" spans="7:18" x14ac:dyDescent="0.25">
      <c r="G30" t="s">
        <v>101</v>
      </c>
      <c r="H30" t="s">
        <v>50</v>
      </c>
      <c r="I30" t="s">
        <v>153</v>
      </c>
    </row>
    <row r="31" spans="7:18" x14ac:dyDescent="0.25">
      <c r="G31" t="s">
        <v>102</v>
      </c>
      <c r="H31" t="s">
        <v>55</v>
      </c>
      <c r="I31" t="s">
        <v>153</v>
      </c>
    </row>
    <row r="32" spans="7:18" x14ac:dyDescent="0.25">
      <c r="G32" t="s">
        <v>103</v>
      </c>
      <c r="H32" t="s">
        <v>117</v>
      </c>
      <c r="I32" t="s">
        <v>153</v>
      </c>
    </row>
    <row r="33" spans="7:9" x14ac:dyDescent="0.25">
      <c r="G33" t="s">
        <v>104</v>
      </c>
      <c r="H33" t="s">
        <v>154</v>
      </c>
      <c r="I33" t="s">
        <v>153</v>
      </c>
    </row>
    <row r="34" spans="7:9" x14ac:dyDescent="0.25">
      <c r="G34" t="s">
        <v>187</v>
      </c>
      <c r="I34"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B17" sqref="B17"/>
    </sheetView>
  </sheetViews>
  <sheetFormatPr defaultRowHeight="15" x14ac:dyDescent="0.25"/>
  <cols>
    <col min="1" max="1" width="33" bestFit="1" customWidth="1"/>
    <col min="2" max="2" width="72.140625" bestFit="1" customWidth="1"/>
    <col min="3" max="3" width="14.140625" customWidth="1"/>
  </cols>
  <sheetData>
    <row r="1" spans="1:2" x14ac:dyDescent="0.25">
      <c r="A1" s="2" t="s">
        <v>146</v>
      </c>
      <c r="B1" s="2" t="s">
        <v>113</v>
      </c>
    </row>
    <row r="2" spans="1:2" ht="30" x14ac:dyDescent="0.25">
      <c r="A2" s="7" t="s">
        <v>130</v>
      </c>
      <c r="B2" s="59" t="s">
        <v>211</v>
      </c>
    </row>
    <row r="3" spans="1:2" ht="90" x14ac:dyDescent="0.25">
      <c r="A3" s="7" t="s">
        <v>131</v>
      </c>
      <c r="B3" s="6" t="s">
        <v>199</v>
      </c>
    </row>
    <row r="4" spans="1:2" x14ac:dyDescent="0.25">
      <c r="A4" s="7" t="s">
        <v>132</v>
      </c>
      <c r="B4" s="1" t="s">
        <v>133</v>
      </c>
    </row>
    <row r="5" spans="1:2" x14ac:dyDescent="0.25">
      <c r="A5" s="7" t="s">
        <v>134</v>
      </c>
      <c r="B5" s="1" t="s">
        <v>135</v>
      </c>
    </row>
    <row r="7" spans="1:2" x14ac:dyDescent="0.25">
      <c r="A7" s="8" t="s">
        <v>192</v>
      </c>
      <c r="B7" s="2" t="s">
        <v>193</v>
      </c>
    </row>
    <row r="8" spans="1:2" x14ac:dyDescent="0.25">
      <c r="A8" s="5" t="s">
        <v>188</v>
      </c>
      <c r="B8" s="60" t="s">
        <v>189</v>
      </c>
    </row>
    <row r="9" spans="1:2" x14ac:dyDescent="0.25">
      <c r="A9" s="5" t="s">
        <v>190</v>
      </c>
      <c r="B9" s="1" t="s">
        <v>191</v>
      </c>
    </row>
    <row r="10" spans="1:2" x14ac:dyDescent="0.25">
      <c r="A10" s="5" t="s">
        <v>140</v>
      </c>
      <c r="B10" s="1" t="s">
        <v>145</v>
      </c>
    </row>
    <row r="11" spans="1:2" x14ac:dyDescent="0.25">
      <c r="A11" s="5" t="s">
        <v>141</v>
      </c>
      <c r="B11" s="1" t="s">
        <v>142</v>
      </c>
    </row>
    <row r="12" spans="1:2" x14ac:dyDescent="0.25">
      <c r="A12" s="5" t="s">
        <v>143</v>
      </c>
      <c r="B12" s="1" t="s">
        <v>144</v>
      </c>
    </row>
    <row r="13" spans="1:2" x14ac:dyDescent="0.25">
      <c r="A13" s="11" t="s">
        <v>136</v>
      </c>
      <c r="B13" s="9" t="s">
        <v>137</v>
      </c>
    </row>
    <row r="14" spans="1:2" x14ac:dyDescent="0.25">
      <c r="A14" s="12"/>
      <c r="B14" s="10" t="s">
        <v>138</v>
      </c>
    </row>
    <row r="15" spans="1:2" x14ac:dyDescent="0.25">
      <c r="A15" s="12"/>
      <c r="B15" s="10" t="s">
        <v>139</v>
      </c>
    </row>
    <row r="16" spans="1:2" ht="45" x14ac:dyDescent="0.25">
      <c r="A16" s="11" t="s">
        <v>194</v>
      </c>
      <c r="B16" s="62" t="s">
        <v>198</v>
      </c>
    </row>
    <row r="17" spans="1:2" ht="45" x14ac:dyDescent="0.25">
      <c r="A17" s="12"/>
      <c r="B17" s="61" t="s">
        <v>196</v>
      </c>
    </row>
    <row r="18" spans="1:2" ht="52.5" customHeight="1" x14ac:dyDescent="0.25">
      <c r="A18" s="12"/>
      <c r="B18" s="61" t="s">
        <v>197</v>
      </c>
    </row>
    <row r="19" spans="1:2" ht="45" x14ac:dyDescent="0.25">
      <c r="A19" s="4"/>
      <c r="B19" s="63" t="s">
        <v>195</v>
      </c>
    </row>
    <row r="23" spans="1:2" x14ac:dyDescent="0.25">
      <c r="A23" s="57" t="s">
        <v>185</v>
      </c>
    </row>
    <row r="24" spans="1:2" x14ac:dyDescent="0.25">
      <c r="A24" s="58" t="s">
        <v>171</v>
      </c>
    </row>
    <row r="25" spans="1:2" x14ac:dyDescent="0.25">
      <c r="A25" s="58" t="s">
        <v>172</v>
      </c>
    </row>
    <row r="26" spans="1:2" x14ac:dyDescent="0.25">
      <c r="A26" s="58" t="s">
        <v>173</v>
      </c>
    </row>
    <row r="27" spans="1:2" x14ac:dyDescent="0.25">
      <c r="A27" s="58" t="s">
        <v>174</v>
      </c>
    </row>
    <row r="28" spans="1:2" x14ac:dyDescent="0.25">
      <c r="A28" s="58" t="s">
        <v>175</v>
      </c>
    </row>
    <row r="29" spans="1:2" x14ac:dyDescent="0.25">
      <c r="A29" s="58" t="s">
        <v>176</v>
      </c>
    </row>
    <row r="30" spans="1:2" x14ac:dyDescent="0.25">
      <c r="A30" s="58" t="s">
        <v>177</v>
      </c>
    </row>
    <row r="31" spans="1:2" x14ac:dyDescent="0.25">
      <c r="A31" s="58" t="s">
        <v>178</v>
      </c>
    </row>
    <row r="32" spans="1:2" x14ac:dyDescent="0.25">
      <c r="A32" s="58" t="s">
        <v>179</v>
      </c>
    </row>
    <row r="33" spans="1:1" x14ac:dyDescent="0.25">
      <c r="A33" s="58" t="s">
        <v>170</v>
      </c>
    </row>
    <row r="34" spans="1:1" x14ac:dyDescent="0.25">
      <c r="A34" s="58" t="s">
        <v>180</v>
      </c>
    </row>
    <row r="35" spans="1:1" x14ac:dyDescent="0.25">
      <c r="A35" s="58" t="s">
        <v>164</v>
      </c>
    </row>
    <row r="36" spans="1:1" x14ac:dyDescent="0.25">
      <c r="A36" s="58" t="s">
        <v>181</v>
      </c>
    </row>
    <row r="37" spans="1:1" x14ac:dyDescent="0.25">
      <c r="A37" s="58" t="s">
        <v>169</v>
      </c>
    </row>
    <row r="38" spans="1:1" x14ac:dyDescent="0.25">
      <c r="A38" s="58" t="s">
        <v>182</v>
      </c>
    </row>
    <row r="39" spans="1:1" x14ac:dyDescent="0.25">
      <c r="A39" s="58" t="s">
        <v>183</v>
      </c>
    </row>
    <row r="40" spans="1:1" x14ac:dyDescent="0.25">
      <c r="A40" s="58" t="s">
        <v>184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0"/>
  <sheetViews>
    <sheetView tabSelected="1" topLeftCell="B1" workbookViewId="0">
      <selection activeCell="I3" sqref="I3"/>
    </sheetView>
  </sheetViews>
  <sheetFormatPr defaultRowHeight="15" x14ac:dyDescent="0.25"/>
  <cols>
    <col min="2" max="2" width="15.28515625" bestFit="1" customWidth="1"/>
    <col min="3" max="3" width="10" bestFit="1" customWidth="1"/>
    <col min="4" max="7" width="21.7109375" bestFit="1" customWidth="1"/>
    <col min="8" max="35" width="21.7109375" customWidth="1"/>
  </cols>
  <sheetData>
    <row r="1" spans="2:15" ht="14.45" x14ac:dyDescent="0.3">
      <c r="B1" s="110"/>
    </row>
    <row r="2" spans="2:15" ht="14.45" x14ac:dyDescent="0.3">
      <c r="B2" s="110"/>
      <c r="C2">
        <v>2011</v>
      </c>
      <c r="D2" t="s">
        <v>270</v>
      </c>
    </row>
    <row r="3" spans="2:15" thickBot="1" x14ac:dyDescent="0.35">
      <c r="B3" s="110"/>
      <c r="C3" t="s">
        <v>57</v>
      </c>
      <c r="D3" t="s">
        <v>50</v>
      </c>
      <c r="E3" t="s">
        <v>55</v>
      </c>
      <c r="F3" t="s">
        <v>117</v>
      </c>
      <c r="G3" t="s">
        <v>154</v>
      </c>
      <c r="H3" t="s">
        <v>203</v>
      </c>
      <c r="I3" t="s">
        <v>319</v>
      </c>
    </row>
    <row r="4" spans="2:15" ht="16.149999999999999" customHeight="1" thickBot="1" x14ac:dyDescent="0.35">
      <c r="B4" s="108" t="s">
        <v>220</v>
      </c>
      <c r="C4">
        <v>350130008</v>
      </c>
      <c r="D4">
        <v>1.0306512228825013</v>
      </c>
      <c r="E4">
        <v>4.2584147142476443</v>
      </c>
      <c r="F4">
        <v>2.2750901593124349</v>
      </c>
      <c r="G4">
        <v>0.13621073732348293</v>
      </c>
      <c r="H4">
        <f>SUM(D4:G4)</f>
        <v>7.700366833766064</v>
      </c>
      <c r="I4" s="148">
        <f>(H22-H4)/H4</f>
        <v>-0.54038725169072732</v>
      </c>
      <c r="O4" t="s">
        <v>318</v>
      </c>
    </row>
    <row r="5" spans="2:15" ht="16.149999999999999" customHeight="1" thickBot="1" x14ac:dyDescent="0.35">
      <c r="B5" s="109" t="s">
        <v>221</v>
      </c>
      <c r="C5">
        <v>350130017</v>
      </c>
      <c r="D5">
        <v>0.93524103670343917</v>
      </c>
      <c r="E5">
        <v>3.0727487542944316</v>
      </c>
      <c r="F5">
        <v>2.8457018088080424</v>
      </c>
      <c r="G5">
        <v>0.16041578099016451</v>
      </c>
      <c r="H5">
        <f t="shared" ref="H5:H18" si="0">SUM(D5:G5)</f>
        <v>7.0141073807960774</v>
      </c>
      <c r="I5" s="148">
        <f t="shared" ref="I5:I18" si="1">(H23-H5)/H5</f>
        <v>-0.47902532931940744</v>
      </c>
    </row>
    <row r="6" spans="2:15" ht="16.149999999999999" customHeight="1" thickBot="1" x14ac:dyDescent="0.35">
      <c r="B6" s="108" t="s">
        <v>222</v>
      </c>
      <c r="C6">
        <v>350130020</v>
      </c>
      <c r="D6">
        <v>1.1001024219606876</v>
      </c>
      <c r="E6">
        <v>3.9315892449530092</v>
      </c>
      <c r="F6">
        <v>1.9284655974861407</v>
      </c>
      <c r="G6">
        <v>0.40750852281149841</v>
      </c>
      <c r="H6">
        <f t="shared" si="0"/>
        <v>7.3676657872113358</v>
      </c>
      <c r="I6" s="148">
        <f t="shared" si="1"/>
        <v>-0.53355483642555523</v>
      </c>
    </row>
    <row r="7" spans="2:15" ht="16.149999999999999" customHeight="1" thickBot="1" x14ac:dyDescent="0.35">
      <c r="B7" s="109" t="s">
        <v>223</v>
      </c>
      <c r="C7">
        <v>350130021</v>
      </c>
      <c r="D7">
        <v>1.1008054347473846</v>
      </c>
      <c r="E7">
        <v>3.3876399508032566</v>
      </c>
      <c r="F7">
        <v>2.6916468372210316</v>
      </c>
      <c r="G7">
        <v>0.18475126196987707</v>
      </c>
      <c r="H7">
        <f t="shared" si="0"/>
        <v>7.3648434847415496</v>
      </c>
      <c r="I7" s="148">
        <f t="shared" si="1"/>
        <v>-0.50043176298158432</v>
      </c>
    </row>
    <row r="8" spans="2:15" ht="16.149999999999999" customHeight="1" thickBot="1" x14ac:dyDescent="0.35">
      <c r="B8" s="108" t="s">
        <v>224</v>
      </c>
      <c r="C8">
        <v>350130022</v>
      </c>
      <c r="D8">
        <v>1.2538924322483858</v>
      </c>
      <c r="E8">
        <v>3.8037407808940666</v>
      </c>
      <c r="F8">
        <v>2.0005192758914894</v>
      </c>
      <c r="G8">
        <v>0.16204456512602949</v>
      </c>
      <c r="H8">
        <f t="shared" si="0"/>
        <v>7.2201970541599714</v>
      </c>
      <c r="I8" s="148">
        <f t="shared" si="1"/>
        <v>-0.54469946302835814</v>
      </c>
    </row>
    <row r="9" spans="2:15" ht="16.149999999999999" customHeight="1" thickBot="1" x14ac:dyDescent="0.35">
      <c r="B9" s="109" t="s">
        <v>273</v>
      </c>
      <c r="C9">
        <v>350130023</v>
      </c>
      <c r="D9">
        <v>4.0110503944679659</v>
      </c>
      <c r="E9">
        <v>1.1847009623181504</v>
      </c>
      <c r="F9">
        <v>0.77258755103024912</v>
      </c>
      <c r="G9">
        <v>0.28972033163633631</v>
      </c>
      <c r="H9">
        <f t="shared" si="0"/>
        <v>6.2580592394527015</v>
      </c>
      <c r="I9" s="148">
        <f t="shared" si="1"/>
        <v>-0.58194520817082651</v>
      </c>
    </row>
    <row r="10" spans="2:15" ht="16.149999999999999" customHeight="1" thickBot="1" x14ac:dyDescent="0.35">
      <c r="B10" s="108" t="s">
        <v>274</v>
      </c>
      <c r="C10">
        <v>350151005</v>
      </c>
      <c r="D10">
        <v>0.70108303196622745</v>
      </c>
      <c r="E10">
        <v>0.65816583718036126</v>
      </c>
      <c r="F10">
        <v>0.40781553426282746</v>
      </c>
      <c r="G10">
        <v>7.8681523774083287E-2</v>
      </c>
      <c r="H10">
        <f t="shared" si="0"/>
        <v>1.8457459271834993</v>
      </c>
      <c r="I10" s="148">
        <f t="shared" si="1"/>
        <v>-0.62503673153976624</v>
      </c>
    </row>
    <row r="11" spans="2:15" ht="16.149999999999999" customHeight="1" thickBot="1" x14ac:dyDescent="0.35">
      <c r="B11" s="109" t="s">
        <v>271</v>
      </c>
      <c r="C11">
        <v>350171003</v>
      </c>
      <c r="D11">
        <v>1.3374162856363849</v>
      </c>
      <c r="E11">
        <v>0.46342579389578364</v>
      </c>
      <c r="F11">
        <v>0.34425916117972005</v>
      </c>
      <c r="G11">
        <v>0.7945460699298994</v>
      </c>
      <c r="H11">
        <f t="shared" si="0"/>
        <v>2.9396473106417877</v>
      </c>
      <c r="I11" s="148">
        <f t="shared" si="1"/>
        <v>-0.5568199401084023</v>
      </c>
    </row>
    <row r="12" spans="2:15" ht="16.149999999999999" customHeight="1" thickBot="1" x14ac:dyDescent="0.35">
      <c r="B12" s="108" t="s">
        <v>272</v>
      </c>
      <c r="C12">
        <v>350290003</v>
      </c>
      <c r="D12">
        <v>2.0376740877592194</v>
      </c>
      <c r="E12">
        <v>1.1177906666108763</v>
      </c>
      <c r="F12">
        <v>0.63883891068617904</v>
      </c>
      <c r="G12">
        <v>0.45999240402843766</v>
      </c>
      <c r="H12">
        <f t="shared" si="0"/>
        <v>4.2542960690847123</v>
      </c>
      <c r="I12" s="148">
        <f t="shared" si="1"/>
        <v>-0.58047817933066737</v>
      </c>
    </row>
    <row r="13" spans="2:15" ht="16.149999999999999" customHeight="1" thickBot="1" x14ac:dyDescent="0.35">
      <c r="B13" s="109" t="s">
        <v>230</v>
      </c>
      <c r="C13">
        <v>481410029</v>
      </c>
      <c r="D13">
        <v>0.70815767382220152</v>
      </c>
      <c r="E13">
        <v>4.5861354292549574</v>
      </c>
      <c r="F13">
        <v>2.8192390599102701</v>
      </c>
      <c r="G13">
        <v>0.31840112176087298</v>
      </c>
      <c r="H13">
        <f t="shared" si="0"/>
        <v>8.4319332847483022</v>
      </c>
      <c r="I13" s="148">
        <f t="shared" si="1"/>
        <v>-0.47249720756807423</v>
      </c>
    </row>
    <row r="14" spans="2:15" ht="16.149999999999999" customHeight="1" thickBot="1" x14ac:dyDescent="0.35">
      <c r="B14" s="108" t="s">
        <v>231</v>
      </c>
      <c r="C14">
        <v>481410037</v>
      </c>
      <c r="D14">
        <v>0.96596461763031138</v>
      </c>
      <c r="E14">
        <v>3.6081619540897183</v>
      </c>
      <c r="F14">
        <v>3.1963064931551584</v>
      </c>
      <c r="G14">
        <v>0.18476974407241689</v>
      </c>
      <c r="H14">
        <f t="shared" si="0"/>
        <v>7.9552028089476048</v>
      </c>
      <c r="I14" s="148">
        <f t="shared" si="1"/>
        <v>-0.47708819118953322</v>
      </c>
    </row>
    <row r="15" spans="2:15" ht="16.149999999999999" customHeight="1" thickBot="1" x14ac:dyDescent="0.35">
      <c r="B15" s="109" t="s">
        <v>232</v>
      </c>
      <c r="C15">
        <v>481410044</v>
      </c>
      <c r="D15">
        <v>1.0770196765385367</v>
      </c>
      <c r="E15">
        <v>3.8179967314527303</v>
      </c>
      <c r="F15">
        <v>3.051655807761851</v>
      </c>
      <c r="G15">
        <v>0.33139066970415859</v>
      </c>
      <c r="H15">
        <f t="shared" si="0"/>
        <v>8.2780628854572758</v>
      </c>
      <c r="I15" s="148">
        <f t="shared" si="1"/>
        <v>-0.47828840161104547</v>
      </c>
    </row>
    <row r="16" spans="2:15" ht="16.149999999999999" customHeight="1" thickBot="1" x14ac:dyDescent="0.35">
      <c r="B16" s="108" t="s">
        <v>233</v>
      </c>
      <c r="C16">
        <v>481410055</v>
      </c>
      <c r="D16">
        <v>0.93526929315284324</v>
      </c>
      <c r="E16">
        <v>4.0131354120874958</v>
      </c>
      <c r="F16">
        <v>3.243694007791539</v>
      </c>
      <c r="G16">
        <v>0.33165577771377308</v>
      </c>
      <c r="H16">
        <f t="shared" si="0"/>
        <v>8.5237544907456524</v>
      </c>
      <c r="I16" s="148">
        <f t="shared" si="1"/>
        <v>-0.47239433620644466</v>
      </c>
    </row>
    <row r="17" spans="2:9" ht="16.149999999999999" customHeight="1" thickBot="1" x14ac:dyDescent="0.35">
      <c r="B17" s="109" t="s">
        <v>234</v>
      </c>
      <c r="C17">
        <v>481410057</v>
      </c>
      <c r="D17">
        <v>0.872578459652254</v>
      </c>
      <c r="E17">
        <v>3.9659106600124736</v>
      </c>
      <c r="F17">
        <v>2.9678483475030903</v>
      </c>
      <c r="G17">
        <v>0.56843284023713458</v>
      </c>
      <c r="H17">
        <f t="shared" si="0"/>
        <v>8.3747703074049529</v>
      </c>
      <c r="I17" s="148">
        <f t="shared" si="1"/>
        <v>-0.4786479103057017</v>
      </c>
    </row>
    <row r="18" spans="2:9" ht="16.149999999999999" customHeight="1" thickBot="1" x14ac:dyDescent="0.35">
      <c r="B18" s="108" t="s">
        <v>235</v>
      </c>
      <c r="C18">
        <v>481410058</v>
      </c>
      <c r="D18">
        <v>1.0617575735692393</v>
      </c>
      <c r="E18">
        <v>5.2117003069146115</v>
      </c>
      <c r="F18">
        <v>2.4774343383282247</v>
      </c>
      <c r="G18">
        <v>0.38174428597219734</v>
      </c>
      <c r="H18">
        <f t="shared" si="0"/>
        <v>9.1326365047842728</v>
      </c>
      <c r="I18" s="148">
        <f t="shared" si="1"/>
        <v>-0.51358133576035059</v>
      </c>
    </row>
    <row r="19" spans="2:9" ht="14.45" x14ac:dyDescent="0.3">
      <c r="B19" s="110"/>
    </row>
    <row r="20" spans="2:9" ht="14.45" x14ac:dyDescent="0.3">
      <c r="B20" s="110"/>
      <c r="C20">
        <v>2025</v>
      </c>
      <c r="D20" t="s">
        <v>270</v>
      </c>
    </row>
    <row r="21" spans="2:9" thickBot="1" x14ac:dyDescent="0.35">
      <c r="B21" s="110"/>
      <c r="C21" t="s">
        <v>57</v>
      </c>
      <c r="D21" t="s">
        <v>50</v>
      </c>
      <c r="E21" t="s">
        <v>55</v>
      </c>
      <c r="F21" t="s">
        <v>117</v>
      </c>
      <c r="G21" t="s">
        <v>154</v>
      </c>
      <c r="H21" t="s">
        <v>203</v>
      </c>
    </row>
    <row r="22" spans="2:9" thickBot="1" x14ac:dyDescent="0.35">
      <c r="B22" s="108" t="s">
        <v>220</v>
      </c>
      <c r="C22">
        <v>350130008</v>
      </c>
      <c r="D22">
        <v>0.42131027747497174</v>
      </c>
      <c r="E22">
        <v>1.8668766613594874</v>
      </c>
      <c r="F22">
        <v>1.1862445452388393</v>
      </c>
      <c r="G22">
        <v>6.4755279383494582E-2</v>
      </c>
      <c r="H22">
        <f>SUM(D22:G22)</f>
        <v>3.5391867634567928</v>
      </c>
    </row>
    <row r="23" spans="2:9" thickBot="1" x14ac:dyDescent="0.35">
      <c r="B23" s="109" t="s">
        <v>221</v>
      </c>
      <c r="C23">
        <v>350130017</v>
      </c>
      <c r="D23">
        <v>0.4282844925146046</v>
      </c>
      <c r="E23">
        <v>1.5192754864565186</v>
      </c>
      <c r="F23">
        <v>1.633022868083114</v>
      </c>
      <c r="G23">
        <v>7.3589435774312872E-2</v>
      </c>
      <c r="H23">
        <f t="shared" ref="H23:H36" si="2">SUM(D23:G23)</f>
        <v>3.6541722828285499</v>
      </c>
    </row>
    <row r="24" spans="2:9" thickBot="1" x14ac:dyDescent="0.35">
      <c r="B24" s="108" t="s">
        <v>222</v>
      </c>
      <c r="C24">
        <v>350130020</v>
      </c>
      <c r="D24">
        <v>0.50255897225097657</v>
      </c>
      <c r="E24">
        <v>1.7183562222761468</v>
      </c>
      <c r="F24">
        <v>1.0187684378564801</v>
      </c>
      <c r="G24">
        <v>0.19692844089402828</v>
      </c>
      <c r="H24">
        <f t="shared" si="2"/>
        <v>3.4366120732776317</v>
      </c>
    </row>
    <row r="25" spans="2:9" thickBot="1" x14ac:dyDescent="0.35">
      <c r="B25" s="109" t="s">
        <v>223</v>
      </c>
      <c r="C25">
        <v>350130021</v>
      </c>
      <c r="D25">
        <v>0.4838971308219529</v>
      </c>
      <c r="E25">
        <v>1.6367108836624991</v>
      </c>
      <c r="F25">
        <v>1.4802561568163759</v>
      </c>
      <c r="G25">
        <v>7.8377704288072822E-2</v>
      </c>
      <c r="H25">
        <f t="shared" si="2"/>
        <v>3.6792418755889011</v>
      </c>
    </row>
    <row r="26" spans="2:9" thickBot="1" x14ac:dyDescent="0.35">
      <c r="B26" s="108" t="s">
        <v>224</v>
      </c>
      <c r="C26">
        <v>350130022</v>
      </c>
      <c r="D26">
        <v>0.53137285860898043</v>
      </c>
      <c r="E26">
        <v>1.6366284045156683</v>
      </c>
      <c r="F26">
        <v>1.0485421962579942</v>
      </c>
      <c r="G26">
        <v>7.0816136417458722E-2</v>
      </c>
      <c r="H26">
        <f t="shared" si="2"/>
        <v>3.2873595958001016</v>
      </c>
    </row>
    <row r="27" spans="2:9" thickBot="1" x14ac:dyDescent="0.35">
      <c r="B27" s="109" t="s">
        <v>273</v>
      </c>
      <c r="C27">
        <v>350130023</v>
      </c>
      <c r="D27">
        <v>1.6005612000864706</v>
      </c>
      <c r="E27">
        <v>0.49498596574245063</v>
      </c>
      <c r="F27">
        <v>0.37928274645909121</v>
      </c>
      <c r="G27">
        <v>0.14138174031602255</v>
      </c>
      <c r="H27">
        <f t="shared" si="2"/>
        <v>2.6162116526040351</v>
      </c>
    </row>
    <row r="28" spans="2:9" thickBot="1" x14ac:dyDescent="0.35">
      <c r="B28" s="108" t="s">
        <v>274</v>
      </c>
      <c r="C28">
        <v>350151005</v>
      </c>
      <c r="D28">
        <v>0.20191878150992221</v>
      </c>
      <c r="E28">
        <v>0.25229545710090734</v>
      </c>
      <c r="F28">
        <v>0.20191878150992221</v>
      </c>
      <c r="G28">
        <v>3.5953905483137753E-2</v>
      </c>
      <c r="H28">
        <f t="shared" si="2"/>
        <v>0.69208692560388951</v>
      </c>
    </row>
    <row r="29" spans="2:9" ht="15.75" thickBot="1" x14ac:dyDescent="0.3">
      <c r="B29" s="109" t="s">
        <v>271</v>
      </c>
      <c r="C29">
        <v>350171003</v>
      </c>
      <c r="D29">
        <v>0.56506194450814629</v>
      </c>
      <c r="E29">
        <v>0.19271844740285268</v>
      </c>
      <c r="F29">
        <v>0.17277147434363962</v>
      </c>
      <c r="G29">
        <v>0.37224120493576296</v>
      </c>
      <c r="H29">
        <f t="shared" si="2"/>
        <v>1.3027930711904014</v>
      </c>
    </row>
    <row r="30" spans="2:9" ht="15.75" thickBot="1" x14ac:dyDescent="0.3">
      <c r="B30" s="108" t="s">
        <v>272</v>
      </c>
      <c r="C30">
        <v>350290003</v>
      </c>
      <c r="D30">
        <v>0.79680666986713933</v>
      </c>
      <c r="E30">
        <v>0.45264366704543246</v>
      </c>
      <c r="F30">
        <v>0.31866195115717771</v>
      </c>
      <c r="G30">
        <v>0.21665774449905381</v>
      </c>
      <c r="H30">
        <f t="shared" si="2"/>
        <v>1.7847700325688034</v>
      </c>
    </row>
    <row r="31" spans="2:9" ht="15.75" thickBot="1" x14ac:dyDescent="0.3">
      <c r="B31" s="109" t="s">
        <v>230</v>
      </c>
      <c r="C31">
        <v>481410029</v>
      </c>
      <c r="D31">
        <v>0.35064275267492795</v>
      </c>
      <c r="E31">
        <v>2.3115449157108809</v>
      </c>
      <c r="F31">
        <v>1.6298394615075424</v>
      </c>
      <c r="G31">
        <v>0.15584122341107831</v>
      </c>
      <c r="H31">
        <f t="shared" si="2"/>
        <v>4.4478683533044299</v>
      </c>
    </row>
    <row r="32" spans="2:9" ht="15.75" thickBot="1" x14ac:dyDescent="0.3">
      <c r="B32" s="108" t="s">
        <v>231</v>
      </c>
      <c r="C32">
        <v>481410037</v>
      </c>
      <c r="D32">
        <v>0.42666355344047419</v>
      </c>
      <c r="E32">
        <v>1.7349982948942042</v>
      </c>
      <c r="F32">
        <v>1.9128749312581248</v>
      </c>
      <c r="G32">
        <v>8.5332710688094837E-2</v>
      </c>
      <c r="H32">
        <f t="shared" si="2"/>
        <v>4.1598694902808981</v>
      </c>
    </row>
    <row r="33" spans="2:16" ht="15.75" thickBot="1" x14ac:dyDescent="0.3">
      <c r="B33" s="109" t="s">
        <v>232</v>
      </c>
      <c r="C33">
        <v>481410044</v>
      </c>
      <c r="D33">
        <v>0.51131763879128955</v>
      </c>
      <c r="E33">
        <v>1.8517990161630384</v>
      </c>
      <c r="F33">
        <v>1.7966215741391423</v>
      </c>
      <c r="G33">
        <v>0.15902319044272598</v>
      </c>
      <c r="H33">
        <f t="shared" si="2"/>
        <v>4.3187614195361963</v>
      </c>
    </row>
    <row r="34" spans="2:16" ht="15.75" thickBot="1" x14ac:dyDescent="0.3">
      <c r="B34" s="108" t="s">
        <v>233</v>
      </c>
      <c r="C34">
        <v>481410055</v>
      </c>
      <c r="D34">
        <v>0.4510447167183157</v>
      </c>
      <c r="E34">
        <v>1.9965361725325221</v>
      </c>
      <c r="F34">
        <v>1.8837749933529433</v>
      </c>
      <c r="G34">
        <v>0.16582526349937782</v>
      </c>
      <c r="H34">
        <f t="shared" si="2"/>
        <v>4.4971811461031583</v>
      </c>
    </row>
    <row r="35" spans="2:16" ht="15.75" thickBot="1" x14ac:dyDescent="0.3">
      <c r="B35" s="109" t="s">
        <v>234</v>
      </c>
      <c r="C35">
        <v>481410057</v>
      </c>
      <c r="D35">
        <v>0.42927399958826895</v>
      </c>
      <c r="E35">
        <v>1.9155689153928412</v>
      </c>
      <c r="F35">
        <v>1.743919367877369</v>
      </c>
      <c r="G35">
        <v>0.27744171761685416</v>
      </c>
      <c r="H35">
        <f t="shared" si="2"/>
        <v>4.3662040004753333</v>
      </c>
    </row>
    <row r="36" spans="2:16" ht="15.75" thickBot="1" x14ac:dyDescent="0.3">
      <c r="B36" s="108" t="s">
        <v>235</v>
      </c>
      <c r="C36">
        <v>481410058</v>
      </c>
      <c r="D36">
        <v>0.49898487848026774</v>
      </c>
      <c r="E36">
        <v>2.3701781727812645</v>
      </c>
      <c r="F36">
        <v>1.3929994524240747</v>
      </c>
      <c r="G36">
        <v>0.18012234595781959</v>
      </c>
      <c r="H36">
        <f t="shared" si="2"/>
        <v>4.4422848496434266</v>
      </c>
    </row>
    <row r="37" spans="2:16" x14ac:dyDescent="0.25">
      <c r="B37" s="110"/>
    </row>
    <row r="38" spans="2:16" x14ac:dyDescent="0.25">
      <c r="B38" s="110"/>
    </row>
    <row r="39" spans="2:16" x14ac:dyDescent="0.25">
      <c r="C39" t="s">
        <v>275</v>
      </c>
      <c r="O39" t="s">
        <v>315</v>
      </c>
    </row>
    <row r="40" spans="2:16" ht="15.75" thickBot="1" x14ac:dyDescent="0.3">
      <c r="C40" t="s">
        <v>57</v>
      </c>
      <c r="D40" t="s">
        <v>75</v>
      </c>
      <c r="E40" t="s">
        <v>79</v>
      </c>
      <c r="F40" t="s">
        <v>83</v>
      </c>
      <c r="G40" t="s">
        <v>87</v>
      </c>
      <c r="H40" t="s">
        <v>91</v>
      </c>
      <c r="I40" t="s">
        <v>95</v>
      </c>
      <c r="J40" t="s">
        <v>99</v>
      </c>
      <c r="K40" t="s">
        <v>103</v>
      </c>
      <c r="L40" t="s">
        <v>203</v>
      </c>
      <c r="M40" t="s">
        <v>311</v>
      </c>
      <c r="N40" t="s">
        <v>312</v>
      </c>
      <c r="O40" t="s">
        <v>314</v>
      </c>
      <c r="P40" s="117">
        <f>MAX(M41:M46)</f>
        <v>6.3328663470970774</v>
      </c>
    </row>
    <row r="41" spans="2:16" ht="15.75" thickBot="1" x14ac:dyDescent="0.3">
      <c r="B41" s="108" t="s">
        <v>220</v>
      </c>
      <c r="C41">
        <v>350130008</v>
      </c>
      <c r="D41">
        <v>1.4259530242097913</v>
      </c>
      <c r="E41">
        <v>6.5148623443925862E-3</v>
      </c>
      <c r="F41">
        <v>2.2750901593124349</v>
      </c>
      <c r="G41">
        <v>0.87509635582875855</v>
      </c>
      <c r="H41">
        <v>6.5148623443925862E-3</v>
      </c>
      <c r="I41">
        <v>1.2509537987743335</v>
      </c>
      <c r="J41">
        <v>0.86206663113997339</v>
      </c>
      <c r="K41">
        <v>4.5403579107837141E-2</v>
      </c>
      <c r="L41" s="124">
        <f>SUM(D41:K41)</f>
        <v>6.7475932730619146</v>
      </c>
      <c r="M41" s="124">
        <f>SUM(F41:K41)</f>
        <v>5.3151253865077308</v>
      </c>
      <c r="N41" s="124">
        <f>SUM(D41:E41)</f>
        <v>1.432467886554184</v>
      </c>
      <c r="O41" t="s">
        <v>313</v>
      </c>
      <c r="P41" s="117">
        <f>MIN(M41:M46)</f>
        <v>2.4596705737333266</v>
      </c>
    </row>
    <row r="42" spans="2:16" ht="15.75" thickBot="1" x14ac:dyDescent="0.3">
      <c r="B42" s="109" t="s">
        <v>221</v>
      </c>
      <c r="C42">
        <v>350130017</v>
      </c>
      <c r="D42" s="111">
        <v>1.4695929167912238</v>
      </c>
      <c r="E42">
        <v>6.7132150695539501E-3</v>
      </c>
      <c r="F42">
        <v>2.8457018088080424</v>
      </c>
      <c r="G42">
        <v>0.98203314771056527</v>
      </c>
      <c r="H42">
        <v>6.7132150695539501E-3</v>
      </c>
      <c r="I42">
        <v>1.2959511001416602</v>
      </c>
      <c r="J42">
        <v>1.1088828533530029</v>
      </c>
      <c r="K42">
        <v>9.3584222014252288E-2</v>
      </c>
      <c r="L42" s="124">
        <f t="shared" ref="L42:L55" si="3">SUM(D42:K42)</f>
        <v>7.809172478957854</v>
      </c>
      <c r="M42" s="124">
        <f t="shared" ref="M42:M73" si="4">SUM(F42:K42)</f>
        <v>6.3328663470970774</v>
      </c>
      <c r="N42" s="124">
        <f t="shared" ref="N42:N73" si="5">SUM(D42:E42)</f>
        <v>1.4763061318607777</v>
      </c>
    </row>
    <row r="43" spans="2:16" ht="15.75" thickBot="1" x14ac:dyDescent="0.3">
      <c r="B43" s="108" t="s">
        <v>222</v>
      </c>
      <c r="C43">
        <v>350130020</v>
      </c>
      <c r="D43">
        <v>1.4938634275042288</v>
      </c>
      <c r="E43">
        <v>1.364717042659618E-2</v>
      </c>
      <c r="F43">
        <v>1.9284655974861407</v>
      </c>
      <c r="G43">
        <v>0.95750956037114754</v>
      </c>
      <c r="H43">
        <v>6.8235852133052208E-3</v>
      </c>
      <c r="I43">
        <v>0.73343506358758837</v>
      </c>
      <c r="J43">
        <v>0.64512984318027844</v>
      </c>
      <c r="K43">
        <v>3.4017579225093783E-2</v>
      </c>
      <c r="L43" s="124">
        <f t="shared" si="3"/>
        <v>5.8128918269943792</v>
      </c>
      <c r="M43" s="124">
        <f t="shared" si="4"/>
        <v>4.3053812290635545</v>
      </c>
      <c r="N43" s="124">
        <f t="shared" si="5"/>
        <v>1.507510597930825</v>
      </c>
    </row>
    <row r="44" spans="2:16" ht="15.75" thickBot="1" x14ac:dyDescent="0.3">
      <c r="B44" s="109" t="s">
        <v>223</v>
      </c>
      <c r="C44">
        <v>350130021</v>
      </c>
      <c r="D44">
        <v>1.3636783727315844</v>
      </c>
      <c r="E44">
        <v>7.1019705467514505E-3</v>
      </c>
      <c r="F44">
        <v>2.6916468372210316</v>
      </c>
      <c r="G44">
        <v>0.90905222998493906</v>
      </c>
      <c r="H44">
        <v>7.1019705467514505E-3</v>
      </c>
      <c r="I44">
        <v>1.5483296069472785</v>
      </c>
      <c r="J44">
        <v>0.98007193545251037</v>
      </c>
      <c r="K44">
        <v>7.8221703768505818E-2</v>
      </c>
      <c r="L44" s="124">
        <f t="shared" si="3"/>
        <v>7.585204627199353</v>
      </c>
      <c r="M44" s="124">
        <f t="shared" si="4"/>
        <v>6.2144242839210175</v>
      </c>
      <c r="N44" s="124">
        <f t="shared" si="5"/>
        <v>1.3707803432783359</v>
      </c>
    </row>
    <row r="45" spans="2:16" ht="15.75" thickBot="1" x14ac:dyDescent="0.3">
      <c r="B45" s="108" t="s">
        <v>224</v>
      </c>
      <c r="C45">
        <v>350130022</v>
      </c>
      <c r="D45">
        <v>0.83826514839607758</v>
      </c>
      <c r="E45">
        <v>7.1107318442142076E-3</v>
      </c>
      <c r="F45">
        <v>2.0005192758914894</v>
      </c>
      <c r="G45">
        <v>0.54241864321542621</v>
      </c>
      <c r="H45">
        <v>7.1107318442142076E-3</v>
      </c>
      <c r="I45">
        <v>1.6271557784935682</v>
      </c>
      <c r="J45">
        <v>0.40150597131659016</v>
      </c>
      <c r="K45">
        <v>5.6385098990076495E-2</v>
      </c>
      <c r="L45" s="124">
        <f t="shared" si="3"/>
        <v>5.4804713799916556</v>
      </c>
      <c r="M45" s="124">
        <f t="shared" si="4"/>
        <v>4.6350954997513645</v>
      </c>
      <c r="N45" s="124">
        <f t="shared" si="5"/>
        <v>0.84537588024029175</v>
      </c>
    </row>
    <row r="46" spans="2:16" ht="15.75" thickBot="1" x14ac:dyDescent="0.3">
      <c r="B46" s="109" t="s">
        <v>273</v>
      </c>
      <c r="C46">
        <v>350130023</v>
      </c>
      <c r="D46">
        <v>0.96573443878781851</v>
      </c>
      <c r="E46">
        <v>6.5049469970048139E-3</v>
      </c>
      <c r="F46">
        <v>0.77258755103024912</v>
      </c>
      <c r="G46">
        <v>0.48937216639092473</v>
      </c>
      <c r="H46">
        <v>6.5049469970048139E-3</v>
      </c>
      <c r="I46">
        <v>0.89498063068180689</v>
      </c>
      <c r="J46">
        <v>0.28972033163633631</v>
      </c>
      <c r="K46">
        <v>6.5049469970048139E-3</v>
      </c>
      <c r="L46" s="124">
        <f t="shared" si="3"/>
        <v>3.4319099595181495</v>
      </c>
      <c r="M46" s="124">
        <f t="shared" si="4"/>
        <v>2.4596705737333266</v>
      </c>
      <c r="N46" s="124">
        <f t="shared" si="5"/>
        <v>0.97223938578482327</v>
      </c>
    </row>
    <row r="47" spans="2:16" ht="15.75" thickBot="1" x14ac:dyDescent="0.3">
      <c r="B47" s="108" t="s">
        <v>274</v>
      </c>
      <c r="C47">
        <v>350151005</v>
      </c>
      <c r="D47">
        <v>0.55087285021571009</v>
      </c>
      <c r="E47">
        <v>1.4305731595283911E-2</v>
      </c>
      <c r="F47">
        <v>0.40781553426282746</v>
      </c>
      <c r="G47">
        <v>0.10729298696466563</v>
      </c>
      <c r="H47">
        <v>7.2550495947472883E-3</v>
      </c>
      <c r="I47">
        <v>1.5880383908741058</v>
      </c>
      <c r="J47">
        <v>1.4305731595283911E-2</v>
      </c>
      <c r="K47">
        <v>7.2550495947472883E-3</v>
      </c>
      <c r="L47" s="117">
        <f t="shared" si="3"/>
        <v>2.697141324697371</v>
      </c>
      <c r="M47" s="117">
        <f t="shared" si="4"/>
        <v>2.131962742886377</v>
      </c>
      <c r="N47" s="117">
        <f t="shared" si="5"/>
        <v>0.56517858181099401</v>
      </c>
    </row>
    <row r="48" spans="2:16" ht="15.75" thickBot="1" x14ac:dyDescent="0.3">
      <c r="B48" s="109" t="s">
        <v>271</v>
      </c>
      <c r="C48">
        <v>350171003</v>
      </c>
      <c r="D48">
        <v>0.60245353206451735</v>
      </c>
      <c r="E48">
        <v>2.64814739368982E-2</v>
      </c>
      <c r="F48">
        <v>0.34425916117972005</v>
      </c>
      <c r="G48">
        <v>0.3574998981481764</v>
      </c>
      <c r="H48">
        <v>6.7222203070657887E-3</v>
      </c>
      <c r="I48">
        <v>0.41708321450620095</v>
      </c>
      <c r="J48">
        <v>0.17212958058986003</v>
      </c>
      <c r="K48">
        <v>6.7222203070657887E-3</v>
      </c>
      <c r="L48" s="117">
        <f t="shared" si="3"/>
        <v>1.9333513010395045</v>
      </c>
      <c r="M48" s="117">
        <f t="shared" si="4"/>
        <v>1.3044162950380889</v>
      </c>
      <c r="N48" s="117">
        <f t="shared" si="5"/>
        <v>0.6289350060014155</v>
      </c>
    </row>
    <row r="49" spans="2:16" ht="15.75" thickBot="1" x14ac:dyDescent="0.3">
      <c r="B49" s="108" t="s">
        <v>272</v>
      </c>
      <c r="C49">
        <v>350290003</v>
      </c>
      <c r="D49">
        <v>0.51099001902211305</v>
      </c>
      <c r="E49">
        <v>6.387375237779565E-3</v>
      </c>
      <c r="F49">
        <v>0.63883891068617904</v>
      </c>
      <c r="G49">
        <v>0.30030802308402776</v>
      </c>
      <c r="H49">
        <v>6.387375237779565E-3</v>
      </c>
      <c r="I49">
        <v>0.70910003830171819</v>
      </c>
      <c r="J49">
        <v>0.21078338284662479</v>
      </c>
      <c r="K49">
        <v>6.387375237779565E-3</v>
      </c>
      <c r="L49" s="117">
        <f t="shared" si="3"/>
        <v>2.3891824996540016</v>
      </c>
      <c r="M49" s="117">
        <f t="shared" si="4"/>
        <v>1.8718051053941089</v>
      </c>
      <c r="N49" s="117">
        <f t="shared" si="5"/>
        <v>0.5173773942598926</v>
      </c>
    </row>
    <row r="50" spans="2:16" ht="15.75" thickBot="1" x14ac:dyDescent="0.3">
      <c r="B50" s="109" t="s">
        <v>230</v>
      </c>
      <c r="C50">
        <v>481410029</v>
      </c>
      <c r="D50">
        <v>1.7798882544133965</v>
      </c>
      <c r="E50">
        <v>6.5958801118130191E-3</v>
      </c>
      <c r="F50">
        <v>2.8192390599102701</v>
      </c>
      <c r="G50">
        <v>1.1887574837870527</v>
      </c>
      <c r="H50">
        <v>6.5958801118130191E-3</v>
      </c>
      <c r="I50">
        <v>0.76652121905394088</v>
      </c>
      <c r="J50">
        <v>0.9094319548097618</v>
      </c>
      <c r="K50">
        <v>5.8463482809194306E-2</v>
      </c>
      <c r="L50" s="117">
        <f t="shared" si="3"/>
        <v>7.535493215007242</v>
      </c>
      <c r="M50" s="117">
        <f t="shared" si="4"/>
        <v>5.7490090804820326</v>
      </c>
      <c r="N50" s="117">
        <f t="shared" si="5"/>
        <v>1.7864841345252096</v>
      </c>
    </row>
    <row r="51" spans="2:16" ht="15.75" thickBot="1" x14ac:dyDescent="0.3">
      <c r="B51" s="108" t="s">
        <v>231</v>
      </c>
      <c r="C51">
        <v>481410037</v>
      </c>
      <c r="D51">
        <v>1.6621273945658392</v>
      </c>
      <c r="E51">
        <v>7.1026810119817303E-3</v>
      </c>
      <c r="F51">
        <v>3.1963064931551584</v>
      </c>
      <c r="G51">
        <v>1.1436316806907323</v>
      </c>
      <c r="H51">
        <v>7.1026810119817303E-3</v>
      </c>
      <c r="I51">
        <v>1.1791450857506836</v>
      </c>
      <c r="J51">
        <v>1.2003530910259075</v>
      </c>
      <c r="K51">
        <v>0.10654021517981124</v>
      </c>
      <c r="L51" s="117">
        <f t="shared" si="3"/>
        <v>8.5023093223920956</v>
      </c>
      <c r="M51" s="117">
        <f t="shared" si="4"/>
        <v>6.8330792468142754</v>
      </c>
      <c r="N51" s="117">
        <f t="shared" si="5"/>
        <v>1.6692300755778209</v>
      </c>
    </row>
    <row r="52" spans="2:16" ht="15.75" thickBot="1" x14ac:dyDescent="0.3">
      <c r="B52" s="109" t="s">
        <v>232</v>
      </c>
      <c r="C52">
        <v>481410044</v>
      </c>
      <c r="D52">
        <v>1.7950327942308804</v>
      </c>
      <c r="E52">
        <v>7.0040298548635247E-3</v>
      </c>
      <c r="F52">
        <v>3.051655807761851</v>
      </c>
      <c r="G52">
        <v>1.2428150689599604</v>
      </c>
      <c r="H52">
        <v>7.0040298548635247E-3</v>
      </c>
      <c r="I52">
        <v>0.98036406454147984</v>
      </c>
      <c r="J52">
        <v>1.0286918705400012</v>
      </c>
      <c r="K52">
        <v>8.9751639711537629E-2</v>
      </c>
      <c r="L52" s="117">
        <f t="shared" si="3"/>
        <v>8.2023193054554362</v>
      </c>
      <c r="M52" s="117">
        <f t="shared" si="4"/>
        <v>6.4002824813696932</v>
      </c>
      <c r="N52" s="117">
        <f t="shared" si="5"/>
        <v>1.8020368240857438</v>
      </c>
    </row>
    <row r="53" spans="2:16" ht="15.75" thickBot="1" x14ac:dyDescent="0.3">
      <c r="B53" s="108" t="s">
        <v>233</v>
      </c>
      <c r="C53">
        <v>481410055</v>
      </c>
      <c r="D53">
        <v>1.7047106974488071</v>
      </c>
      <c r="E53">
        <v>6.7336173050928701E-3</v>
      </c>
      <c r="F53">
        <v>3.243694007791539</v>
      </c>
      <c r="G53">
        <v>1.2073275326289659</v>
      </c>
      <c r="H53">
        <v>6.7336173050928701E-3</v>
      </c>
      <c r="I53">
        <v>0.87567175491519289</v>
      </c>
      <c r="J53">
        <v>0.98170110203277061</v>
      </c>
      <c r="K53">
        <v>6.6431657293583163E-2</v>
      </c>
      <c r="L53" s="117">
        <f t="shared" si="3"/>
        <v>8.0930039867210439</v>
      </c>
      <c r="M53" s="117">
        <f t="shared" si="4"/>
        <v>6.3815596719671444</v>
      </c>
      <c r="N53" s="117">
        <f t="shared" si="5"/>
        <v>1.7114443147539</v>
      </c>
    </row>
    <row r="54" spans="2:16" ht="15.75" thickBot="1" x14ac:dyDescent="0.3">
      <c r="B54" s="109" t="s">
        <v>234</v>
      </c>
      <c r="C54">
        <v>481410057</v>
      </c>
      <c r="D54">
        <v>1.5203275101550355</v>
      </c>
      <c r="E54">
        <v>1.3219368377605465E-2</v>
      </c>
      <c r="F54">
        <v>2.9678483475030903</v>
      </c>
      <c r="G54">
        <v>1.1038172595302485</v>
      </c>
      <c r="H54">
        <v>6.7098309189323338E-3</v>
      </c>
      <c r="I54">
        <v>0.78004288100898722</v>
      </c>
      <c r="J54">
        <v>0.82631067033062766</v>
      </c>
      <c r="K54">
        <v>3.9758251862953113E-2</v>
      </c>
      <c r="L54" s="117">
        <f t="shared" si="3"/>
        <v>7.2580341196874798</v>
      </c>
      <c r="M54" s="117">
        <f t="shared" si="4"/>
        <v>5.7244872411548391</v>
      </c>
      <c r="N54" s="117">
        <f t="shared" si="5"/>
        <v>1.5335468785326409</v>
      </c>
    </row>
    <row r="55" spans="2:16" ht="15.75" thickBot="1" x14ac:dyDescent="0.3">
      <c r="B55" s="108" t="s">
        <v>235</v>
      </c>
      <c r="C55">
        <v>481410058</v>
      </c>
      <c r="D55">
        <v>1.6863208521393749</v>
      </c>
      <c r="E55">
        <v>7.0063188301045382E-3</v>
      </c>
      <c r="F55">
        <v>2.4774343383282247</v>
      </c>
      <c r="G55">
        <v>1.0548513450081254</v>
      </c>
      <c r="H55">
        <v>7.0063188301045382E-3</v>
      </c>
      <c r="I55">
        <v>0.96467001263765451</v>
      </c>
      <c r="J55">
        <v>0.74256970572305758</v>
      </c>
      <c r="K55">
        <v>6.2456327857010725E-2</v>
      </c>
      <c r="L55" s="117">
        <f t="shared" si="3"/>
        <v>7.0023152193536564</v>
      </c>
      <c r="M55" s="117">
        <f t="shared" si="4"/>
        <v>5.3089880483841778</v>
      </c>
      <c r="N55" s="117">
        <f t="shared" si="5"/>
        <v>1.6933271709694795</v>
      </c>
    </row>
    <row r="56" spans="2:16" x14ac:dyDescent="0.25">
      <c r="L56" s="117"/>
      <c r="M56" s="117"/>
      <c r="N56" s="117"/>
    </row>
    <row r="57" spans="2:16" x14ac:dyDescent="0.25">
      <c r="C57" t="s">
        <v>276</v>
      </c>
      <c r="L57" s="117"/>
      <c r="M57" s="117"/>
      <c r="N57" s="117"/>
      <c r="O57" t="s">
        <v>315</v>
      </c>
    </row>
    <row r="58" spans="2:16" ht="15.75" thickBot="1" x14ac:dyDescent="0.3">
      <c r="C58" t="s">
        <v>57</v>
      </c>
      <c r="D58" t="s">
        <v>75</v>
      </c>
      <c r="E58" t="s">
        <v>79</v>
      </c>
      <c r="F58" t="s">
        <v>83</v>
      </c>
      <c r="G58" t="s">
        <v>87</v>
      </c>
      <c r="H58" t="s">
        <v>91</v>
      </c>
      <c r="I58" t="s">
        <v>95</v>
      </c>
      <c r="J58" t="s">
        <v>99</v>
      </c>
      <c r="K58" t="s">
        <v>103</v>
      </c>
      <c r="L58" s="117" t="s">
        <v>203</v>
      </c>
      <c r="M58" s="117"/>
      <c r="N58" s="117"/>
      <c r="O58" t="s">
        <v>316</v>
      </c>
      <c r="P58" s="117">
        <f>MAX(M59:M64)</f>
        <v>6.6393131877580522</v>
      </c>
    </row>
    <row r="59" spans="2:16" ht="15.75" thickBot="1" x14ac:dyDescent="0.3">
      <c r="B59" s="108" t="s">
        <v>220</v>
      </c>
      <c r="C59">
        <v>350130008</v>
      </c>
      <c r="D59">
        <v>1.2834777046846471</v>
      </c>
      <c r="E59">
        <v>6.4153837160112739E-3</v>
      </c>
      <c r="F59">
        <v>1.1862445452388393</v>
      </c>
      <c r="G59">
        <v>1.030671490125548</v>
      </c>
      <c r="H59">
        <v>0</v>
      </c>
      <c r="I59">
        <v>1.5232526710705916</v>
      </c>
      <c r="J59">
        <v>1.3807108641304551</v>
      </c>
      <c r="K59">
        <v>3.8893263778324583E-2</v>
      </c>
      <c r="L59" s="124">
        <f>SUM(D59:K59)</f>
        <v>6.4496659227444164</v>
      </c>
      <c r="M59" s="124">
        <f t="shared" si="4"/>
        <v>5.1597728343437579</v>
      </c>
      <c r="N59" s="124">
        <f t="shared" si="5"/>
        <v>1.2898930884006583</v>
      </c>
      <c r="O59" t="s">
        <v>317</v>
      </c>
      <c r="P59" s="117">
        <f>MIN(M59:M64)</f>
        <v>2.4039891674936298</v>
      </c>
    </row>
    <row r="60" spans="2:16" ht="15.75" thickBot="1" x14ac:dyDescent="0.3">
      <c r="B60" s="109" t="s">
        <v>221</v>
      </c>
      <c r="C60">
        <v>350130017</v>
      </c>
      <c r="D60">
        <v>1.3719962200432729</v>
      </c>
      <c r="E60">
        <v>0</v>
      </c>
      <c r="F60">
        <v>1.633022868083114</v>
      </c>
      <c r="G60">
        <v>1.1846594026423645</v>
      </c>
      <c r="H60">
        <v>0</v>
      </c>
      <c r="I60">
        <v>1.8271865362789019</v>
      </c>
      <c r="J60">
        <v>1.9141284890490999</v>
      </c>
      <c r="K60">
        <v>8.0315891704572526E-2</v>
      </c>
      <c r="L60" s="124">
        <f t="shared" ref="L60:L73" si="6">SUM(D60:K60)</f>
        <v>8.0113094078013258</v>
      </c>
      <c r="M60" s="124">
        <f t="shared" si="4"/>
        <v>6.6393131877580522</v>
      </c>
      <c r="N60" s="124">
        <f t="shared" si="5"/>
        <v>1.3719962200432729</v>
      </c>
    </row>
    <row r="61" spans="2:16" ht="15.75" thickBot="1" x14ac:dyDescent="0.3">
      <c r="B61" s="108" t="s">
        <v>222</v>
      </c>
      <c r="C61">
        <v>350130020</v>
      </c>
      <c r="D61">
        <v>1.3855250754848136</v>
      </c>
      <c r="E61">
        <v>6.8252466772634407E-3</v>
      </c>
      <c r="F61">
        <v>1.0187684378564801</v>
      </c>
      <c r="G61">
        <v>1.0934446662077304</v>
      </c>
      <c r="H61">
        <v>0</v>
      </c>
      <c r="I61">
        <v>0.95081708490782413</v>
      </c>
      <c r="J61">
        <v>1.0119431911792165</v>
      </c>
      <c r="K61">
        <v>3.3925490836993477E-2</v>
      </c>
      <c r="L61" s="124">
        <f t="shared" si="6"/>
        <v>5.5012491931503211</v>
      </c>
      <c r="M61" s="124">
        <f t="shared" si="4"/>
        <v>4.1088988709882441</v>
      </c>
      <c r="N61" s="124">
        <f t="shared" si="5"/>
        <v>1.392350322162077</v>
      </c>
    </row>
    <row r="62" spans="2:16" ht="15.75" thickBot="1" x14ac:dyDescent="0.3">
      <c r="B62" s="109" t="s">
        <v>223</v>
      </c>
      <c r="C62">
        <v>350130021</v>
      </c>
      <c r="D62">
        <v>1.2880203040996236</v>
      </c>
      <c r="E62">
        <v>0</v>
      </c>
      <c r="F62">
        <v>1.4802561568163759</v>
      </c>
      <c r="G62">
        <v>1.1031010401463217</v>
      </c>
      <c r="H62">
        <v>0</v>
      </c>
      <c r="I62">
        <v>2.1705211816653458</v>
      </c>
      <c r="J62">
        <v>1.7008563193969752</v>
      </c>
      <c r="K62">
        <v>7.1161342767932567E-2</v>
      </c>
      <c r="L62" s="124">
        <f t="shared" si="6"/>
        <v>7.8139163448925748</v>
      </c>
      <c r="M62" s="124">
        <f t="shared" si="4"/>
        <v>6.5258960407929507</v>
      </c>
      <c r="N62" s="124">
        <f t="shared" si="5"/>
        <v>1.2880203040996236</v>
      </c>
    </row>
    <row r="63" spans="2:16" ht="15.75" thickBot="1" x14ac:dyDescent="0.3">
      <c r="B63" s="108" t="s">
        <v>224</v>
      </c>
      <c r="C63">
        <v>350130022</v>
      </c>
      <c r="D63">
        <v>0.85019657377437585</v>
      </c>
      <c r="E63">
        <v>0</v>
      </c>
      <c r="F63">
        <v>1.0485421962579942</v>
      </c>
      <c r="G63">
        <v>0.65185095129075754</v>
      </c>
      <c r="H63">
        <v>0</v>
      </c>
      <c r="I63">
        <v>2.06172669140286</v>
      </c>
      <c r="J63">
        <v>0.75812552301255365</v>
      </c>
      <c r="K63">
        <v>4.2509828688719865E-2</v>
      </c>
      <c r="L63" s="124">
        <f t="shared" si="6"/>
        <v>5.4129517644272624</v>
      </c>
      <c r="M63" s="124">
        <f t="shared" si="4"/>
        <v>4.5627551906528856</v>
      </c>
      <c r="N63" s="124">
        <f t="shared" si="5"/>
        <v>0.85019657377437585</v>
      </c>
    </row>
    <row r="64" spans="2:16" ht="15.75" thickBot="1" x14ac:dyDescent="0.3">
      <c r="B64" s="109" t="s">
        <v>273</v>
      </c>
      <c r="C64">
        <v>350130023</v>
      </c>
      <c r="D64">
        <v>0.93202040541897724</v>
      </c>
      <c r="E64">
        <v>0</v>
      </c>
      <c r="F64">
        <v>0.37928274645909121</v>
      </c>
      <c r="G64">
        <v>0.55923222653623594</v>
      </c>
      <c r="H64">
        <v>0</v>
      </c>
      <c r="I64">
        <v>1.0670074945828978</v>
      </c>
      <c r="J64">
        <v>0.39207204876330243</v>
      </c>
      <c r="K64">
        <v>6.3946511521020535E-3</v>
      </c>
      <c r="L64" s="124">
        <f t="shared" si="6"/>
        <v>3.3360095729126069</v>
      </c>
      <c r="M64" s="124">
        <f t="shared" si="4"/>
        <v>2.4039891674936298</v>
      </c>
      <c r="N64" s="124">
        <f t="shared" si="5"/>
        <v>0.93202040541897724</v>
      </c>
    </row>
    <row r="65" spans="2:14" ht="15.75" thickBot="1" x14ac:dyDescent="0.3">
      <c r="B65" s="108" t="s">
        <v>274</v>
      </c>
      <c r="C65">
        <v>350151005</v>
      </c>
      <c r="D65">
        <v>0.62728747990505695</v>
      </c>
      <c r="E65">
        <v>7.2113850539163816E-3</v>
      </c>
      <c r="F65">
        <v>0.20191878150992221</v>
      </c>
      <c r="G65">
        <v>0.11527914107632044</v>
      </c>
      <c r="H65">
        <v>0</v>
      </c>
      <c r="I65">
        <v>1.8244804186432455</v>
      </c>
      <c r="J65">
        <v>1.4319750321359329E-2</v>
      </c>
      <c r="K65">
        <v>0</v>
      </c>
      <c r="L65" s="117">
        <f t="shared" si="6"/>
        <v>2.7904969565098208</v>
      </c>
      <c r="M65" s="117">
        <f t="shared" si="4"/>
        <v>2.1559980915508472</v>
      </c>
      <c r="N65" s="117">
        <f t="shared" si="5"/>
        <v>0.63449886495897334</v>
      </c>
    </row>
    <row r="66" spans="2:14" ht="15.75" thickBot="1" x14ac:dyDescent="0.3">
      <c r="B66" s="109" t="s">
        <v>271</v>
      </c>
      <c r="C66">
        <v>350171003</v>
      </c>
      <c r="D66">
        <v>0.59840919177637009</v>
      </c>
      <c r="E66">
        <v>2.6493671909415355E-2</v>
      </c>
      <c r="F66">
        <v>0.17277147434363962</v>
      </c>
      <c r="G66">
        <v>0.41888643424345978</v>
      </c>
      <c r="H66">
        <v>6.6489910197401105E-3</v>
      </c>
      <c r="I66">
        <v>0.51851900736998724</v>
      </c>
      <c r="J66">
        <v>0.19946973059212336</v>
      </c>
      <c r="K66">
        <v>6.6489910197401105E-3</v>
      </c>
      <c r="L66" s="117">
        <f t="shared" si="6"/>
        <v>1.9478474922744755</v>
      </c>
      <c r="M66" s="117">
        <f t="shared" si="4"/>
        <v>1.3229446285886903</v>
      </c>
      <c r="N66" s="117">
        <f t="shared" si="5"/>
        <v>0.6249028636857854</v>
      </c>
    </row>
    <row r="67" spans="2:14" ht="15.75" thickBot="1" x14ac:dyDescent="0.3">
      <c r="B67" s="108" t="s">
        <v>272</v>
      </c>
      <c r="C67">
        <v>350290003</v>
      </c>
      <c r="D67">
        <v>0.54189734787128463</v>
      </c>
      <c r="E67">
        <v>0</v>
      </c>
      <c r="F67">
        <v>0.31866195115717771</v>
      </c>
      <c r="G67">
        <v>0.35063946038730137</v>
      </c>
      <c r="H67">
        <v>0</v>
      </c>
      <c r="I67">
        <v>0.86055929902846229</v>
      </c>
      <c r="J67">
        <v>0.31238788289050762</v>
      </c>
      <c r="K67">
        <v>6.274068266670106E-3</v>
      </c>
      <c r="L67" s="117">
        <f t="shared" si="6"/>
        <v>2.3904200096014034</v>
      </c>
      <c r="M67" s="117">
        <f t="shared" si="4"/>
        <v>1.8485226617301191</v>
      </c>
      <c r="N67" s="117">
        <f t="shared" si="5"/>
        <v>0.54189734787128463</v>
      </c>
    </row>
    <row r="68" spans="2:14" ht="15.75" thickBot="1" x14ac:dyDescent="0.3">
      <c r="B68" s="109" t="s">
        <v>230</v>
      </c>
      <c r="C68">
        <v>481410029</v>
      </c>
      <c r="D68">
        <v>1.6167527946698157</v>
      </c>
      <c r="E68">
        <v>0</v>
      </c>
      <c r="F68">
        <v>1.6298394615075424</v>
      </c>
      <c r="G68">
        <v>1.3115637321564495</v>
      </c>
      <c r="H68">
        <v>0</v>
      </c>
      <c r="I68">
        <v>0.99998118355442445</v>
      </c>
      <c r="J68">
        <v>1.4415313165524832</v>
      </c>
      <c r="K68">
        <v>4.5453690161561845E-2</v>
      </c>
      <c r="L68" s="117">
        <f t="shared" si="6"/>
        <v>7.0451221786022771</v>
      </c>
      <c r="M68" s="117">
        <f t="shared" si="4"/>
        <v>5.4283693839324609</v>
      </c>
      <c r="N68" s="117">
        <f t="shared" si="5"/>
        <v>1.6167527946698157</v>
      </c>
    </row>
    <row r="69" spans="2:14" ht="15.75" thickBot="1" x14ac:dyDescent="0.3">
      <c r="B69" s="108" t="s">
        <v>231</v>
      </c>
      <c r="C69">
        <v>481410037</v>
      </c>
      <c r="D69">
        <v>1.5573219700577272</v>
      </c>
      <c r="E69">
        <v>7.0109034602944603E-3</v>
      </c>
      <c r="F69">
        <v>1.9128749312581248</v>
      </c>
      <c r="G69">
        <v>1.393667452141832</v>
      </c>
      <c r="H69">
        <v>0</v>
      </c>
      <c r="I69">
        <v>1.585666051190042</v>
      </c>
      <c r="J69">
        <v>2.0407738415265455</v>
      </c>
      <c r="K69">
        <v>9.9454673372391278E-2</v>
      </c>
      <c r="L69" s="117">
        <f t="shared" si="6"/>
        <v>8.5967698230069569</v>
      </c>
      <c r="M69" s="117">
        <f t="shared" si="4"/>
        <v>7.0324369494889352</v>
      </c>
      <c r="N69" s="117">
        <f t="shared" si="5"/>
        <v>1.5643328735180217</v>
      </c>
    </row>
    <row r="70" spans="2:14" ht="15.75" thickBot="1" x14ac:dyDescent="0.3">
      <c r="B70" s="109" t="s">
        <v>232</v>
      </c>
      <c r="C70">
        <v>481410044</v>
      </c>
      <c r="D70">
        <v>1.6515179198875614</v>
      </c>
      <c r="E70">
        <v>0</v>
      </c>
      <c r="F70">
        <v>1.7966215741391423</v>
      </c>
      <c r="G70">
        <v>1.4579462403373147</v>
      </c>
      <c r="H70">
        <v>0</v>
      </c>
      <c r="I70">
        <v>1.3473910751932545</v>
      </c>
      <c r="J70">
        <v>1.6928759662684465</v>
      </c>
      <c r="K70">
        <v>7.6106816584680742E-2</v>
      </c>
      <c r="L70" s="117">
        <f t="shared" si="6"/>
        <v>8.0224595924103994</v>
      </c>
      <c r="M70" s="117">
        <f t="shared" si="4"/>
        <v>6.3709416725228385</v>
      </c>
      <c r="N70" s="117">
        <f t="shared" si="5"/>
        <v>1.6515179198875614</v>
      </c>
    </row>
    <row r="71" spans="2:14" ht="15.75" thickBot="1" x14ac:dyDescent="0.3">
      <c r="B71" s="108" t="s">
        <v>233</v>
      </c>
      <c r="C71">
        <v>481410055</v>
      </c>
      <c r="D71">
        <v>1.6051885506739865</v>
      </c>
      <c r="E71">
        <v>6.63301053997397E-3</v>
      </c>
      <c r="F71">
        <v>1.8837749933529433</v>
      </c>
      <c r="G71">
        <v>1.4061982344747317</v>
      </c>
      <c r="H71">
        <v>0</v>
      </c>
      <c r="I71">
        <v>1.1540433337959779</v>
      </c>
      <c r="J71">
        <v>1.5985555401340126</v>
      </c>
      <c r="K71">
        <v>5.9697094859780017E-2</v>
      </c>
      <c r="L71" s="117">
        <f t="shared" si="6"/>
        <v>7.7140907578314062</v>
      </c>
      <c r="M71" s="117">
        <f t="shared" si="4"/>
        <v>6.1022691966174456</v>
      </c>
      <c r="N71" s="117">
        <f t="shared" si="5"/>
        <v>1.6118215612139604</v>
      </c>
    </row>
    <row r="72" spans="2:14" ht="15.75" thickBot="1" x14ac:dyDescent="0.3">
      <c r="B72" s="109" t="s">
        <v>234</v>
      </c>
      <c r="C72">
        <v>481410057</v>
      </c>
      <c r="D72">
        <v>1.4333487871540245</v>
      </c>
      <c r="E72">
        <v>1.3211510362704971E-2</v>
      </c>
      <c r="F72">
        <v>1.743919367877369</v>
      </c>
      <c r="G72">
        <v>1.2683049948199048</v>
      </c>
      <c r="H72">
        <v>0</v>
      </c>
      <c r="I72">
        <v>0.9907631900033298</v>
      </c>
      <c r="J72">
        <v>1.3210509490710109</v>
      </c>
      <c r="K72">
        <v>3.2928688707048737E-2</v>
      </c>
      <c r="L72" s="117">
        <f t="shared" si="6"/>
        <v>6.8035274879953933</v>
      </c>
      <c r="M72" s="117">
        <f t="shared" si="4"/>
        <v>5.3569671904786631</v>
      </c>
      <c r="N72" s="117">
        <f t="shared" si="5"/>
        <v>1.4465602975167295</v>
      </c>
    </row>
    <row r="73" spans="2:14" ht="15.75" thickBot="1" x14ac:dyDescent="0.3">
      <c r="B73" s="108" t="s">
        <v>235</v>
      </c>
      <c r="C73">
        <v>481410058</v>
      </c>
      <c r="D73">
        <v>1.5246426986096759</v>
      </c>
      <c r="E73">
        <v>0</v>
      </c>
      <c r="F73">
        <v>1.3929994524240747</v>
      </c>
      <c r="G73">
        <v>1.1850890863906323</v>
      </c>
      <c r="H73">
        <v>0</v>
      </c>
      <c r="I73">
        <v>1.2612562493317305</v>
      </c>
      <c r="J73">
        <v>1.205880122993978</v>
      </c>
      <c r="K73">
        <v>4.8479099772225545E-2</v>
      </c>
      <c r="L73" s="117">
        <f t="shared" si="6"/>
        <v>6.6183467095223172</v>
      </c>
      <c r="M73" s="117">
        <f t="shared" si="4"/>
        <v>5.0937040109126412</v>
      </c>
      <c r="N73" s="117">
        <f t="shared" si="5"/>
        <v>1.5246426986096759</v>
      </c>
    </row>
    <row r="76" spans="2:14" x14ac:dyDescent="0.25">
      <c r="C76" t="s">
        <v>277</v>
      </c>
    </row>
    <row r="77" spans="2:14" ht="15.75" thickBot="1" x14ac:dyDescent="0.3">
      <c r="C77" t="s">
        <v>57</v>
      </c>
      <c r="D77" t="s">
        <v>115</v>
      </c>
      <c r="E77" t="s">
        <v>4</v>
      </c>
      <c r="F77" t="s">
        <v>6</v>
      </c>
      <c r="G77" t="s">
        <v>8</v>
      </c>
      <c r="H77" t="s">
        <v>112</v>
      </c>
      <c r="I77" t="s">
        <v>279</v>
      </c>
      <c r="J77" t="s">
        <v>14</v>
      </c>
      <c r="K77" t="s">
        <v>153</v>
      </c>
      <c r="L77" t="s">
        <v>203</v>
      </c>
    </row>
    <row r="78" spans="2:14" ht="15.75" thickBot="1" x14ac:dyDescent="0.3">
      <c r="B78" s="108" t="s">
        <v>220</v>
      </c>
      <c r="C78">
        <v>350130008</v>
      </c>
      <c r="D78">
        <v>0.39540202997875268</v>
      </c>
      <c r="E78">
        <v>0.10373665425298974</v>
      </c>
      <c r="F78">
        <v>1.0306512228825013</v>
      </c>
      <c r="G78">
        <v>0.32413945879627043</v>
      </c>
      <c r="H78">
        <v>0.24636202526939555</v>
      </c>
      <c r="I78">
        <v>3.2474083070507448E-2</v>
      </c>
      <c r="J78">
        <v>1.3029724688785172E-2</v>
      </c>
      <c r="K78">
        <v>5.1918441452215483E-2</v>
      </c>
      <c r="L78">
        <f>SUM(D78:K78)</f>
        <v>2.1977136403914179</v>
      </c>
    </row>
    <row r="79" spans="2:14" ht="15.75" thickBot="1" x14ac:dyDescent="0.3">
      <c r="B79" s="109" t="s">
        <v>221</v>
      </c>
      <c r="C79">
        <v>350130017</v>
      </c>
      <c r="D79">
        <v>0.49437318139005965</v>
      </c>
      <c r="E79">
        <v>3.3465878107879758E-2</v>
      </c>
      <c r="F79">
        <v>0.93524103670343917</v>
      </c>
      <c r="G79">
        <v>0.30730493460140235</v>
      </c>
      <c r="H79">
        <v>0.22714714272624373</v>
      </c>
      <c r="I79">
        <v>0.12694990288228478</v>
      </c>
      <c r="J79">
        <v>2.0139645208633372E-2</v>
      </c>
      <c r="K79">
        <v>5.3505326076680092E-2</v>
      </c>
      <c r="L79">
        <f t="shared" ref="L79:L92" si="7">SUM(D79:K79)</f>
        <v>2.198127047696623</v>
      </c>
    </row>
    <row r="80" spans="2:14" ht="15.75" thickBot="1" x14ac:dyDescent="0.3">
      <c r="B80" s="108" t="s">
        <v>222</v>
      </c>
      <c r="C80">
        <v>350130020</v>
      </c>
      <c r="D80">
        <v>0.48216657279222636</v>
      </c>
      <c r="E80">
        <v>7.4758396822103237E-2</v>
      </c>
      <c r="F80">
        <v>1.1001024219606876</v>
      </c>
      <c r="G80">
        <v>0.32602688761746523</v>
      </c>
      <c r="H80">
        <v>0.19015726439985492</v>
      </c>
      <c r="I80">
        <v>4.0841164438384744E-2</v>
      </c>
      <c r="J80">
        <v>1.364717042659618E-2</v>
      </c>
      <c r="K80">
        <v>3.4017579225093783E-2</v>
      </c>
      <c r="L80">
        <f t="shared" si="7"/>
        <v>2.2617174576824115</v>
      </c>
    </row>
    <row r="81" spans="2:12" ht="15.75" thickBot="1" x14ac:dyDescent="0.3">
      <c r="B81" s="109" t="s">
        <v>223</v>
      </c>
      <c r="C81">
        <v>350130021</v>
      </c>
      <c r="D81">
        <v>0.51144190712071391</v>
      </c>
      <c r="E81">
        <v>3.550985273378568E-2</v>
      </c>
      <c r="F81">
        <v>1.1008054347473846</v>
      </c>
      <c r="G81">
        <v>0.35519855509203985</v>
      </c>
      <c r="H81">
        <v>0.2130591164027141</v>
      </c>
      <c r="I81">
        <v>0.13503746814257428</v>
      </c>
      <c r="J81">
        <v>1.4303968847700117E-2</v>
      </c>
      <c r="K81">
        <v>5.6815764374054251E-2</v>
      </c>
      <c r="L81">
        <f t="shared" si="7"/>
        <v>2.4221720674609668</v>
      </c>
    </row>
    <row r="82" spans="2:12" ht="15.75" thickBot="1" x14ac:dyDescent="0.3">
      <c r="B82" s="108" t="s">
        <v>224</v>
      </c>
      <c r="C82">
        <v>350130022</v>
      </c>
      <c r="D82">
        <v>0.47902296353386009</v>
      </c>
      <c r="E82">
        <v>3.5253205762883044E-2</v>
      </c>
      <c r="F82">
        <v>1.2538924322483858</v>
      </c>
      <c r="G82">
        <v>0.38748480993362511</v>
      </c>
      <c r="H82">
        <v>0.21842966411610601</v>
      </c>
      <c r="I82">
        <v>0.13390209120734645</v>
      </c>
      <c r="J82">
        <v>2.1131893227179215E-2</v>
      </c>
      <c r="K82">
        <v>5.6385098990076495E-2</v>
      </c>
      <c r="L82">
        <f t="shared" si="7"/>
        <v>2.5855021590194629</v>
      </c>
    </row>
    <row r="83" spans="2:12" ht="15.75" thickBot="1" x14ac:dyDescent="0.3">
      <c r="B83" s="109" t="s">
        <v>273</v>
      </c>
      <c r="C83">
        <v>350130023</v>
      </c>
      <c r="D83">
        <v>0.66320436537272931</v>
      </c>
      <c r="E83">
        <v>0.11588813265453167</v>
      </c>
      <c r="F83">
        <v>4.0110503944679659</v>
      </c>
      <c r="G83">
        <v>0.9077903724605455</v>
      </c>
      <c r="H83">
        <v>0.25759590108184005</v>
      </c>
      <c r="I83">
        <v>6.4449013324277757E-2</v>
      </c>
      <c r="J83">
        <v>7.0853884213647064E-2</v>
      </c>
      <c r="K83">
        <v>0.16742732809243532</v>
      </c>
      <c r="L83">
        <f t="shared" si="7"/>
        <v>6.2582593916679716</v>
      </c>
    </row>
    <row r="84" spans="2:12" ht="15.75" thickBot="1" x14ac:dyDescent="0.3">
      <c r="B84" s="108" t="s">
        <v>274</v>
      </c>
      <c r="C84">
        <v>350151005</v>
      </c>
      <c r="D84">
        <v>0.27896176610811613</v>
      </c>
      <c r="E84">
        <v>5.0172244380613538E-2</v>
      </c>
      <c r="F84">
        <v>0.70108303196622745</v>
      </c>
      <c r="G84">
        <v>0.18607669453586151</v>
      </c>
      <c r="H84">
        <v>2.1029425445073739</v>
      </c>
      <c r="I84">
        <v>0.20753529192879464</v>
      </c>
      <c r="J84">
        <v>3.5764328988217034E-2</v>
      </c>
      <c r="K84">
        <v>3.5764328988217034E-2</v>
      </c>
      <c r="L84">
        <f t="shared" si="7"/>
        <v>3.5983002314034209</v>
      </c>
    </row>
    <row r="85" spans="2:12" ht="15.75" thickBot="1" x14ac:dyDescent="0.3">
      <c r="B85" s="109" t="s">
        <v>271</v>
      </c>
      <c r="C85">
        <v>350171003</v>
      </c>
      <c r="D85">
        <v>0.58931464691889857</v>
      </c>
      <c r="E85">
        <v>0.11264811605467306</v>
      </c>
      <c r="F85">
        <v>1.3374162856363849</v>
      </c>
      <c r="G85">
        <v>0.52962947873803634</v>
      </c>
      <c r="H85">
        <v>0.2780554763374673</v>
      </c>
      <c r="I85">
        <v>8.6064790294937243E-2</v>
      </c>
      <c r="J85">
        <v>1.9861105452670034E-2</v>
      </c>
      <c r="K85">
        <v>3.3101842421126369E-2</v>
      </c>
      <c r="L85">
        <f t="shared" si="7"/>
        <v>2.9860917418541937</v>
      </c>
    </row>
    <row r="86" spans="2:12" ht="15.75" thickBot="1" x14ac:dyDescent="0.3">
      <c r="B86" s="108" t="s">
        <v>272</v>
      </c>
      <c r="C86">
        <v>350290003</v>
      </c>
      <c r="D86">
        <v>0.4344429030773338</v>
      </c>
      <c r="E86">
        <v>9.5810628566643047E-2</v>
      </c>
      <c r="F86">
        <v>2.0376740877592194</v>
      </c>
      <c r="G86">
        <v>0.42805552783955425</v>
      </c>
      <c r="H86">
        <v>0.33853088760215128</v>
      </c>
      <c r="I86">
        <v>0.1214615164262864</v>
      </c>
      <c r="J86">
        <v>2.5549500951103851E-2</v>
      </c>
      <c r="K86">
        <v>4.4813013572967637E-2</v>
      </c>
      <c r="L86">
        <f t="shared" si="7"/>
        <v>3.5263380657952599</v>
      </c>
    </row>
    <row r="87" spans="2:12" ht="15.75" thickBot="1" x14ac:dyDescent="0.3">
      <c r="B87" s="109" t="s">
        <v>230</v>
      </c>
      <c r="C87">
        <v>481410029</v>
      </c>
      <c r="D87">
        <v>0.50028751272282823</v>
      </c>
      <c r="E87">
        <v>3.9075592783589214E-2</v>
      </c>
      <c r="F87">
        <v>0.70815767382220152</v>
      </c>
      <c r="G87">
        <v>0.25344169641732062</v>
      </c>
      <c r="H87">
        <v>0.19487827603065716</v>
      </c>
      <c r="I87">
        <v>5.2067477852291169E-2</v>
      </c>
      <c r="J87">
        <v>1.3091822646156897E-2</v>
      </c>
      <c r="K87">
        <v>4.5571535317933086E-2</v>
      </c>
      <c r="L87">
        <f t="shared" si="7"/>
        <v>1.8065715875929778</v>
      </c>
    </row>
    <row r="88" spans="2:12" ht="15.75" thickBot="1" x14ac:dyDescent="0.3">
      <c r="B88" s="108" t="s">
        <v>231</v>
      </c>
      <c r="C88">
        <v>481410037</v>
      </c>
      <c r="D88">
        <v>0.54700647568378369</v>
      </c>
      <c r="E88">
        <v>3.5513405059937081E-2</v>
      </c>
      <c r="F88">
        <v>0.96596461763031138</v>
      </c>
      <c r="G88">
        <v>0.32672332655142966</v>
      </c>
      <c r="H88">
        <v>0.26289923520427277</v>
      </c>
      <c r="I88">
        <v>0.13505097698850213</v>
      </c>
      <c r="J88">
        <v>2.1308043035959404E-2</v>
      </c>
      <c r="K88">
        <v>4.9818804844650302E-2</v>
      </c>
      <c r="L88">
        <f t="shared" si="7"/>
        <v>2.3442848849988467</v>
      </c>
    </row>
    <row r="89" spans="2:12" ht="15.75" thickBot="1" x14ac:dyDescent="0.3">
      <c r="B89" s="109" t="s">
        <v>232</v>
      </c>
      <c r="C89">
        <v>481410044</v>
      </c>
      <c r="D89">
        <v>0.67668934154868576</v>
      </c>
      <c r="E89">
        <v>4.832780599852135E-2</v>
      </c>
      <c r="F89">
        <v>1.0770196765385367</v>
      </c>
      <c r="G89">
        <v>0.35910661641553737</v>
      </c>
      <c r="H89">
        <v>0.2486430598474845</v>
      </c>
      <c r="I89">
        <v>6.9139780424395045E-2</v>
      </c>
      <c r="J89">
        <v>2.0711916856515245E-2</v>
      </c>
      <c r="K89">
        <v>6.2235808138889959E-2</v>
      </c>
      <c r="L89">
        <f t="shared" si="7"/>
        <v>2.5618740057685661</v>
      </c>
    </row>
    <row r="90" spans="2:12" ht="15.75" thickBot="1" x14ac:dyDescent="0.3">
      <c r="B90" s="108" t="s">
        <v>233</v>
      </c>
      <c r="C90">
        <v>481410055</v>
      </c>
      <c r="D90">
        <v>0.61687974654761879</v>
      </c>
      <c r="E90">
        <v>4.6431808879927372E-2</v>
      </c>
      <c r="F90">
        <v>0.93526929315284324</v>
      </c>
      <c r="G90">
        <v>0.32512316391031731</v>
      </c>
      <c r="H90">
        <v>0.23889266170474402</v>
      </c>
      <c r="I90">
        <v>5.9698039988476011E-2</v>
      </c>
      <c r="J90">
        <v>1.9999848413655791E-2</v>
      </c>
      <c r="K90">
        <v>5.3165426185020244E-2</v>
      </c>
      <c r="L90">
        <f t="shared" si="7"/>
        <v>2.2954599887826026</v>
      </c>
    </row>
    <row r="91" spans="2:12" ht="15.75" thickBot="1" x14ac:dyDescent="0.3">
      <c r="B91" s="109" t="s">
        <v>234</v>
      </c>
      <c r="C91">
        <v>481410057</v>
      </c>
      <c r="D91">
        <v>0.5883620395336866</v>
      </c>
      <c r="E91">
        <v>4.6267789321626243E-2</v>
      </c>
      <c r="F91">
        <v>0.872578459652254</v>
      </c>
      <c r="G91">
        <v>0.30414561941511936</v>
      </c>
      <c r="H91">
        <v>0.21161004077185261</v>
      </c>
      <c r="I91">
        <v>5.9487157699231706E-2</v>
      </c>
      <c r="J91">
        <v>1.3219368377605465E-2</v>
      </c>
      <c r="K91">
        <v>4.6267789321626243E-2</v>
      </c>
      <c r="L91">
        <f t="shared" si="7"/>
        <v>2.1419382640930023</v>
      </c>
    </row>
    <row r="92" spans="2:12" ht="15.75" thickBot="1" x14ac:dyDescent="0.3">
      <c r="B92" s="108" t="s">
        <v>235</v>
      </c>
      <c r="C92">
        <v>481410058</v>
      </c>
      <c r="D92">
        <v>0.61075082144790804</v>
      </c>
      <c r="E92">
        <v>9.028142263946165E-2</v>
      </c>
      <c r="F92">
        <v>1.0617575735692393</v>
      </c>
      <c r="G92">
        <v>0.35391919118974641</v>
      </c>
      <c r="H92">
        <v>0.2429190828669433</v>
      </c>
      <c r="I92">
        <v>6.9462646687115256E-2</v>
      </c>
      <c r="J92">
        <v>2.0818775952332166E-2</v>
      </c>
      <c r="K92">
        <v>5.555009929589691E-2</v>
      </c>
      <c r="L92">
        <f t="shared" si="7"/>
        <v>2.5054596136486427</v>
      </c>
    </row>
    <row r="94" spans="2:12" x14ac:dyDescent="0.25">
      <c r="C94" t="s">
        <v>278</v>
      </c>
    </row>
    <row r="95" spans="2:12" ht="15.75" thickBot="1" x14ac:dyDescent="0.3">
      <c r="C95" t="s">
        <v>57</v>
      </c>
      <c r="D95" t="s">
        <v>115</v>
      </c>
      <c r="E95" t="s">
        <v>4</v>
      </c>
      <c r="F95" t="s">
        <v>6</v>
      </c>
      <c r="G95" t="s">
        <v>8</v>
      </c>
      <c r="H95" t="s">
        <v>112</v>
      </c>
      <c r="I95" t="s">
        <v>279</v>
      </c>
      <c r="J95" t="s">
        <v>14</v>
      </c>
      <c r="K95" t="s">
        <v>153</v>
      </c>
      <c r="L95" t="s">
        <v>203</v>
      </c>
    </row>
    <row r="96" spans="2:12" ht="15.75" thickBot="1" x14ac:dyDescent="0.3">
      <c r="B96" s="108" t="s">
        <v>220</v>
      </c>
      <c r="C96">
        <v>350130008</v>
      </c>
      <c r="D96">
        <v>0.37590138961007702</v>
      </c>
      <c r="E96">
        <v>9.723315944580789E-2</v>
      </c>
      <c r="F96">
        <v>0.42131027747497174</v>
      </c>
      <c r="G96">
        <v>0.2462905904725218</v>
      </c>
      <c r="H96">
        <v>0.27866823016426912</v>
      </c>
      <c r="I96">
        <v>3.8893263778324583E-2</v>
      </c>
      <c r="J96">
        <v>1.9446631889158728E-2</v>
      </c>
      <c r="K96">
        <v>5.8339895667483307E-2</v>
      </c>
      <c r="L96">
        <f>SUM(D96:K96)</f>
        <v>1.5360834385026141</v>
      </c>
    </row>
    <row r="97" spans="2:12" ht="15.75" thickBot="1" x14ac:dyDescent="0.3">
      <c r="B97" s="109" t="s">
        <v>221</v>
      </c>
      <c r="C97">
        <v>350130017</v>
      </c>
      <c r="D97">
        <v>0.39485300259258155</v>
      </c>
      <c r="E97">
        <v>3.3431489922030176E-2</v>
      </c>
      <c r="F97">
        <v>0.4282844925146046</v>
      </c>
      <c r="G97">
        <v>0.2543001921095886</v>
      </c>
      <c r="H97">
        <v>0.28110562096598601</v>
      </c>
      <c r="I97">
        <v>8.694195277019813E-2</v>
      </c>
      <c r="J97">
        <v>2.0078972926144915E-2</v>
      </c>
      <c r="K97">
        <v>4.6784006917915441E-2</v>
      </c>
      <c r="L97">
        <f t="shared" ref="L97:L110" si="8">SUM(D97:K97)</f>
        <v>1.5457797307190497</v>
      </c>
    </row>
    <row r="98" spans="2:12" ht="15.75" thickBot="1" x14ac:dyDescent="0.3">
      <c r="B98" s="108" t="s">
        <v>222</v>
      </c>
      <c r="C98">
        <v>350130020</v>
      </c>
      <c r="D98">
        <v>0.45508335933411809</v>
      </c>
      <c r="E98">
        <v>7.4676228351250401E-2</v>
      </c>
      <c r="F98">
        <v>0.50255897225097657</v>
      </c>
      <c r="G98">
        <v>0.26487979384268423</v>
      </c>
      <c r="H98">
        <v>0.20375368757129173</v>
      </c>
      <c r="I98">
        <v>4.0750737514256917E-2</v>
      </c>
      <c r="J98">
        <v>2.0375368757128458E-2</v>
      </c>
      <c r="K98">
        <v>4.0750737514256917E-2</v>
      </c>
      <c r="L98">
        <f t="shared" si="8"/>
        <v>1.6028288851359629</v>
      </c>
    </row>
    <row r="99" spans="2:12" ht="15.75" thickBot="1" x14ac:dyDescent="0.3">
      <c r="B99" s="109" t="s">
        <v>223</v>
      </c>
      <c r="C99">
        <v>350130021</v>
      </c>
      <c r="D99">
        <v>0.39860374674376942</v>
      </c>
      <c r="E99">
        <v>2.8564764350517174E-2</v>
      </c>
      <c r="F99">
        <v>0.4838971308219529</v>
      </c>
      <c r="G99">
        <v>0.27752923679494274</v>
      </c>
      <c r="H99">
        <v>0.26339719548469182</v>
      </c>
      <c r="I99">
        <v>9.2609972841647945E-2</v>
      </c>
      <c r="J99">
        <v>2.144863007371537E-2</v>
      </c>
      <c r="K99">
        <v>4.9812939937555652E-2</v>
      </c>
      <c r="L99">
        <f t="shared" si="8"/>
        <v>1.615863617048793</v>
      </c>
    </row>
    <row r="100" spans="2:12" ht="15.75" thickBot="1" x14ac:dyDescent="0.3">
      <c r="B100" s="108" t="s">
        <v>224</v>
      </c>
      <c r="C100">
        <v>350130022</v>
      </c>
      <c r="D100">
        <v>0.41089476592721053</v>
      </c>
      <c r="E100">
        <v>2.8306307728746018E-2</v>
      </c>
      <c r="F100">
        <v>0.53137285860898043</v>
      </c>
      <c r="G100">
        <v>0.29756880082103193</v>
      </c>
      <c r="H100">
        <v>0.27631388647666838</v>
      </c>
      <c r="I100">
        <v>9.2071050761822232E-2</v>
      </c>
      <c r="J100">
        <v>2.1254914344356356E-2</v>
      </c>
      <c r="K100">
        <v>5.6713349648693713E-2</v>
      </c>
      <c r="L100">
        <f t="shared" si="8"/>
        <v>1.7144959343175097</v>
      </c>
    </row>
    <row r="101" spans="2:12" ht="15.75" thickBot="1" x14ac:dyDescent="0.3">
      <c r="B101" s="109" t="s">
        <v>273</v>
      </c>
      <c r="C101">
        <v>350130023</v>
      </c>
      <c r="D101">
        <v>0.66854079466749328</v>
      </c>
      <c r="E101">
        <v>0.12209787043546146</v>
      </c>
      <c r="F101">
        <v>1.6005612000864706</v>
      </c>
      <c r="G101">
        <v>0.76496014407029156</v>
      </c>
      <c r="H101">
        <v>0.28286339705629293</v>
      </c>
      <c r="I101">
        <v>0.12859243801181844</v>
      </c>
      <c r="J101">
        <v>0.10930856813125735</v>
      </c>
      <c r="K101">
        <v>0.15427095904447446</v>
      </c>
      <c r="L101">
        <f t="shared" si="8"/>
        <v>3.8311953715035605</v>
      </c>
    </row>
    <row r="102" spans="2:12" ht="15.75" thickBot="1" x14ac:dyDescent="0.3">
      <c r="B102" s="108" t="s">
        <v>274</v>
      </c>
      <c r="C102">
        <v>350151005</v>
      </c>
      <c r="D102">
        <v>0.28845540215702126</v>
      </c>
      <c r="E102">
        <v>5.7691080431404251E-2</v>
      </c>
      <c r="F102">
        <v>0.20191878150992221</v>
      </c>
      <c r="G102">
        <v>0.1298049309706559</v>
      </c>
      <c r="H102">
        <v>2.2932204471484252</v>
      </c>
      <c r="I102">
        <v>0.11527914107632044</v>
      </c>
      <c r="J102">
        <v>4.3268310323542211E-2</v>
      </c>
      <c r="K102">
        <v>3.5953905483137753E-2</v>
      </c>
      <c r="L102">
        <f t="shared" si="8"/>
        <v>3.1655919991004295</v>
      </c>
    </row>
    <row r="103" spans="2:12" ht="15.75" thickBot="1" x14ac:dyDescent="0.3">
      <c r="B103" s="109" t="s">
        <v>271</v>
      </c>
      <c r="C103">
        <v>350171003</v>
      </c>
      <c r="D103">
        <v>0.67154809299348217</v>
      </c>
      <c r="E103">
        <v>0.11293055516600045</v>
      </c>
      <c r="F103">
        <v>0.56506194450814629</v>
      </c>
      <c r="G103">
        <v>0.41223744322371964</v>
      </c>
      <c r="H103">
        <v>0.31240028575812379</v>
      </c>
      <c r="I103">
        <v>8.6436883256585093E-2</v>
      </c>
      <c r="J103">
        <v>2.6493671909415355E-2</v>
      </c>
      <c r="K103">
        <v>3.9791653948895576E-2</v>
      </c>
      <c r="L103">
        <f t="shared" si="8"/>
        <v>2.2269005307643686</v>
      </c>
    </row>
    <row r="104" spans="2:12" ht="15.75" thickBot="1" x14ac:dyDescent="0.3">
      <c r="B104" s="108" t="s">
        <v>272</v>
      </c>
      <c r="C104">
        <v>350290003</v>
      </c>
      <c r="D104">
        <v>0.49727050745835494</v>
      </c>
      <c r="E104">
        <v>0.10190301200866532</v>
      </c>
      <c r="F104">
        <v>0.79680666986713933</v>
      </c>
      <c r="G104">
        <v>0.33141247698944232</v>
      </c>
      <c r="H104">
        <v>0.38251577496796646</v>
      </c>
      <c r="I104">
        <v>0.11475473249038849</v>
      </c>
      <c r="J104">
        <v>3.8150382847335178E-2</v>
      </c>
      <c r="K104">
        <v>5.7377366245194246E-2</v>
      </c>
      <c r="L104">
        <f t="shared" si="8"/>
        <v>2.3201909228744864</v>
      </c>
    </row>
    <row r="105" spans="2:12" ht="15.75" thickBot="1" x14ac:dyDescent="0.3">
      <c r="B105" s="109" t="s">
        <v>230</v>
      </c>
      <c r="C105">
        <v>481410029</v>
      </c>
      <c r="D105">
        <v>0.4025898271452874</v>
      </c>
      <c r="E105">
        <v>3.8860407632632724E-2</v>
      </c>
      <c r="F105">
        <v>0.35064275267492795</v>
      </c>
      <c r="G105">
        <v>0.21418178397009671</v>
      </c>
      <c r="H105">
        <v>0.21418178397009671</v>
      </c>
      <c r="I105">
        <v>5.1947074470359435E-2</v>
      </c>
      <c r="J105">
        <v>1.938025470624705E-2</v>
      </c>
      <c r="K105">
        <v>3.2367023323842233E-2</v>
      </c>
      <c r="L105">
        <f t="shared" si="8"/>
        <v>1.3241509078934903</v>
      </c>
    </row>
    <row r="106" spans="2:12" ht="15.75" thickBot="1" x14ac:dyDescent="0.3">
      <c r="B106" s="108" t="s">
        <v>231</v>
      </c>
      <c r="C106">
        <v>481410037</v>
      </c>
      <c r="D106">
        <v>0.44799673111249438</v>
      </c>
      <c r="E106">
        <v>3.5455140356330815E-2</v>
      </c>
      <c r="F106">
        <v>0.42666355344047419</v>
      </c>
      <c r="G106">
        <v>0.26310919128830074</v>
      </c>
      <c r="H106">
        <v>0.31288660585635725</v>
      </c>
      <c r="I106">
        <v>9.2443769912111048E-2</v>
      </c>
      <c r="J106">
        <v>2.1333177672034385E-2</v>
      </c>
      <c r="K106">
        <v>4.2566199580332795E-2</v>
      </c>
      <c r="L106">
        <f t="shared" si="8"/>
        <v>1.6424543692184357</v>
      </c>
    </row>
    <row r="107" spans="2:12" ht="15.75" thickBot="1" x14ac:dyDescent="0.3">
      <c r="B107" s="109" t="s">
        <v>232</v>
      </c>
      <c r="C107">
        <v>481410044</v>
      </c>
      <c r="D107">
        <v>0.54596626844694418</v>
      </c>
      <c r="E107">
        <v>4.145818692902617E-2</v>
      </c>
      <c r="F107">
        <v>0.51131763879128955</v>
      </c>
      <c r="G107">
        <v>0.29711700632466737</v>
      </c>
      <c r="H107">
        <v>0.2764880534082918</v>
      </c>
      <c r="I107">
        <v>6.9197118763175192E-2</v>
      </c>
      <c r="J107">
        <v>2.0729093464509529E-2</v>
      </c>
      <c r="K107">
        <v>4.145818692902617E-2</v>
      </c>
      <c r="L107">
        <f t="shared" si="8"/>
        <v>1.80373155305693</v>
      </c>
    </row>
    <row r="108" spans="2:12" ht="15.75" thickBot="1" x14ac:dyDescent="0.3">
      <c r="B108" s="108" t="s">
        <v>233</v>
      </c>
      <c r="C108">
        <v>481410055</v>
      </c>
      <c r="D108">
        <v>0.50400830087841464</v>
      </c>
      <c r="E108">
        <v>3.9697563080158177E-2</v>
      </c>
      <c r="F108">
        <v>0.4510447167183157</v>
      </c>
      <c r="G108">
        <v>0.27195343213898276</v>
      </c>
      <c r="H108">
        <v>0.26532042159900882</v>
      </c>
      <c r="I108">
        <v>6.633010539975398E-2</v>
      </c>
      <c r="J108">
        <v>2.6431542000203093E-2</v>
      </c>
      <c r="K108">
        <v>3.9697563080158177E-2</v>
      </c>
      <c r="L108">
        <f t="shared" si="8"/>
        <v>1.6644836448949953</v>
      </c>
    </row>
    <row r="109" spans="2:12" ht="15.75" thickBot="1" x14ac:dyDescent="0.3">
      <c r="B109" s="109" t="s">
        <v>234</v>
      </c>
      <c r="C109">
        <v>481410057</v>
      </c>
      <c r="D109">
        <v>0.46900861787611181</v>
      </c>
      <c r="E109">
        <v>3.9534443888401223E-2</v>
      </c>
      <c r="F109">
        <v>0.42927399958826895</v>
      </c>
      <c r="G109">
        <v>0.25752436487307589</v>
      </c>
      <c r="H109">
        <v>0.23770709932901135</v>
      </c>
      <c r="I109">
        <v>5.2745954251113301E-2</v>
      </c>
      <c r="J109">
        <v>1.9817265544057456E-2</v>
      </c>
      <c r="K109">
        <v>3.2928688707048737E-2</v>
      </c>
      <c r="L109">
        <f t="shared" si="8"/>
        <v>1.5385404340570887</v>
      </c>
    </row>
    <row r="110" spans="2:12" ht="15.75" thickBot="1" x14ac:dyDescent="0.3">
      <c r="B110" s="108" t="s">
        <v>235</v>
      </c>
      <c r="C110">
        <v>481410058</v>
      </c>
      <c r="D110">
        <v>0.48509086844245625</v>
      </c>
      <c r="E110">
        <v>8.3164146413382684E-2</v>
      </c>
      <c r="F110">
        <v>0.49898487848026774</v>
      </c>
      <c r="G110">
        <v>0.28407752897454086</v>
      </c>
      <c r="H110">
        <v>0.27718050240901376</v>
      </c>
      <c r="I110">
        <v>6.9270136375564118E-2</v>
      </c>
      <c r="J110">
        <v>2.0791036603345671E-2</v>
      </c>
      <c r="K110">
        <v>4.1582073206691342E-2</v>
      </c>
      <c r="L110">
        <f t="shared" si="8"/>
        <v>1.7601411709052626</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7"/>
  <sheetViews>
    <sheetView workbookViewId="0">
      <selection activeCell="K22" sqref="K22"/>
    </sheetView>
  </sheetViews>
  <sheetFormatPr defaultRowHeight="15" x14ac:dyDescent="0.25"/>
  <cols>
    <col min="1" max="1" width="1.7109375" customWidth="1"/>
    <col min="2" max="2" width="13.85546875" bestFit="1" customWidth="1"/>
    <col min="3" max="34" width="5.7109375" customWidth="1"/>
  </cols>
  <sheetData>
    <row r="1" spans="2:34" ht="14.45" x14ac:dyDescent="0.3">
      <c r="B1" t="s">
        <v>284</v>
      </c>
    </row>
    <row r="2" spans="2:34" thickBot="1" x14ac:dyDescent="0.35"/>
    <row r="3" spans="2:34" thickBot="1" x14ac:dyDescent="0.35">
      <c r="B3">
        <v>2011</v>
      </c>
      <c r="C3" s="126" t="s">
        <v>286</v>
      </c>
      <c r="D3" s="127"/>
      <c r="E3" s="127"/>
      <c r="F3" s="127"/>
      <c r="G3" s="114" t="s">
        <v>287</v>
      </c>
      <c r="H3" s="112"/>
      <c r="I3" s="112"/>
      <c r="J3" s="113"/>
      <c r="K3" s="128" t="s">
        <v>6</v>
      </c>
      <c r="L3" s="125"/>
      <c r="M3" s="125"/>
      <c r="N3" s="125"/>
      <c r="O3" s="125" t="s">
        <v>8</v>
      </c>
      <c r="P3" s="125"/>
      <c r="Q3" s="125"/>
      <c r="R3" s="125"/>
      <c r="S3" s="125" t="s">
        <v>112</v>
      </c>
      <c r="T3" s="125"/>
      <c r="U3" s="125"/>
      <c r="V3" s="125"/>
      <c r="W3" s="125" t="s">
        <v>279</v>
      </c>
      <c r="X3" s="125"/>
      <c r="Y3" s="125"/>
      <c r="Z3" s="125"/>
      <c r="AA3" s="125" t="s">
        <v>14</v>
      </c>
      <c r="AB3" s="125"/>
      <c r="AC3" s="125"/>
      <c r="AD3" s="125"/>
      <c r="AE3" s="125" t="s">
        <v>153</v>
      </c>
      <c r="AF3" s="125"/>
      <c r="AG3" s="125"/>
      <c r="AH3" s="125"/>
    </row>
    <row r="4" spans="2:34" thickBot="1" x14ac:dyDescent="0.35">
      <c r="C4" s="79" t="s">
        <v>280</v>
      </c>
      <c r="D4" s="79" t="s">
        <v>281</v>
      </c>
      <c r="E4" s="79" t="s">
        <v>282</v>
      </c>
      <c r="F4" s="79" t="s">
        <v>283</v>
      </c>
      <c r="G4" s="79" t="s">
        <v>280</v>
      </c>
      <c r="H4" s="79" t="s">
        <v>281</v>
      </c>
      <c r="I4" s="79" t="s">
        <v>282</v>
      </c>
      <c r="J4" s="79" t="s">
        <v>283</v>
      </c>
      <c r="K4" s="79" t="s">
        <v>280</v>
      </c>
      <c r="L4" s="79" t="s">
        <v>281</v>
      </c>
      <c r="M4" s="79" t="s">
        <v>282</v>
      </c>
      <c r="N4" s="79" t="s">
        <v>283</v>
      </c>
      <c r="O4" s="79" t="s">
        <v>280</v>
      </c>
      <c r="P4" s="79" t="s">
        <v>281</v>
      </c>
      <c r="Q4" s="79" t="s">
        <v>282</v>
      </c>
      <c r="R4" s="79" t="s">
        <v>283</v>
      </c>
      <c r="S4" s="79" t="s">
        <v>280</v>
      </c>
      <c r="T4" s="79" t="s">
        <v>281</v>
      </c>
      <c r="U4" s="79" t="s">
        <v>282</v>
      </c>
      <c r="V4" s="79" t="s">
        <v>283</v>
      </c>
      <c r="W4" s="79" t="s">
        <v>280</v>
      </c>
      <c r="X4" s="79" t="s">
        <v>281</v>
      </c>
      <c r="Y4" s="79" t="s">
        <v>282</v>
      </c>
      <c r="Z4" s="79" t="s">
        <v>283</v>
      </c>
      <c r="AA4" s="79" t="s">
        <v>280</v>
      </c>
      <c r="AB4" s="79" t="s">
        <v>281</v>
      </c>
      <c r="AC4" s="79" t="s">
        <v>282</v>
      </c>
      <c r="AD4" s="79" t="s">
        <v>283</v>
      </c>
      <c r="AE4" s="79" t="s">
        <v>280</v>
      </c>
      <c r="AF4" s="79" t="s">
        <v>281</v>
      </c>
      <c r="AG4" s="79" t="s">
        <v>282</v>
      </c>
      <c r="AH4" s="79" t="s">
        <v>283</v>
      </c>
    </row>
    <row r="5" spans="2:34" thickBot="1" x14ac:dyDescent="0.35">
      <c r="B5" s="108" t="s">
        <v>220</v>
      </c>
      <c r="E5">
        <v>3</v>
      </c>
      <c r="K5">
        <v>5</v>
      </c>
      <c r="L5">
        <v>1</v>
      </c>
      <c r="M5">
        <v>2</v>
      </c>
      <c r="Y5">
        <v>4</v>
      </c>
    </row>
    <row r="6" spans="2:34" thickBot="1" x14ac:dyDescent="0.35">
      <c r="B6" s="109" t="s">
        <v>221</v>
      </c>
      <c r="E6">
        <v>3</v>
      </c>
      <c r="L6">
        <v>1</v>
      </c>
      <c r="M6">
        <v>2</v>
      </c>
      <c r="Y6">
        <v>4</v>
      </c>
      <c r="AC6">
        <v>5</v>
      </c>
    </row>
    <row r="7" spans="2:34" thickBot="1" x14ac:dyDescent="0.35">
      <c r="B7" s="108" t="s">
        <v>222</v>
      </c>
      <c r="E7">
        <v>3</v>
      </c>
      <c r="K7">
        <v>4</v>
      </c>
      <c r="L7">
        <v>1</v>
      </c>
      <c r="M7">
        <v>2</v>
      </c>
      <c r="X7">
        <v>5</v>
      </c>
    </row>
    <row r="8" spans="2:34" thickBot="1" x14ac:dyDescent="0.35">
      <c r="B8" s="109" t="s">
        <v>223</v>
      </c>
      <c r="E8">
        <v>4</v>
      </c>
      <c r="K8">
        <v>5</v>
      </c>
      <c r="L8">
        <v>1</v>
      </c>
      <c r="M8">
        <v>2</v>
      </c>
      <c r="Y8">
        <v>3</v>
      </c>
    </row>
    <row r="9" spans="2:34" thickBot="1" x14ac:dyDescent="0.35">
      <c r="B9" s="108" t="s">
        <v>224</v>
      </c>
      <c r="K9">
        <v>4</v>
      </c>
      <c r="L9">
        <v>1</v>
      </c>
      <c r="M9">
        <v>2</v>
      </c>
      <c r="T9">
        <v>5</v>
      </c>
      <c r="Y9">
        <v>3</v>
      </c>
    </row>
    <row r="10" spans="2:34" thickBot="1" x14ac:dyDescent="0.35">
      <c r="B10" s="109" t="s">
        <v>273</v>
      </c>
      <c r="E10">
        <v>3</v>
      </c>
      <c r="K10">
        <v>1</v>
      </c>
      <c r="L10">
        <v>2</v>
      </c>
      <c r="O10">
        <v>4</v>
      </c>
      <c r="Y10">
        <v>5</v>
      </c>
    </row>
    <row r="11" spans="2:34" thickBot="1" x14ac:dyDescent="0.35">
      <c r="B11" s="108" t="s">
        <v>274</v>
      </c>
      <c r="K11">
        <v>4</v>
      </c>
      <c r="L11">
        <v>5</v>
      </c>
      <c r="S11">
        <v>2</v>
      </c>
      <c r="T11">
        <v>1</v>
      </c>
      <c r="Y11">
        <v>3</v>
      </c>
    </row>
    <row r="12" spans="2:34" thickBot="1" x14ac:dyDescent="0.35">
      <c r="B12" s="109" t="s">
        <v>271</v>
      </c>
      <c r="C12">
        <v>5</v>
      </c>
      <c r="E12">
        <v>4</v>
      </c>
      <c r="K12">
        <v>1</v>
      </c>
      <c r="N12">
        <v>2</v>
      </c>
      <c r="T12">
        <v>3</v>
      </c>
    </row>
    <row r="13" spans="2:34" thickBot="1" x14ac:dyDescent="0.35">
      <c r="B13" s="108" t="s">
        <v>272</v>
      </c>
      <c r="J13">
        <v>4</v>
      </c>
      <c r="K13">
        <v>1</v>
      </c>
      <c r="L13">
        <v>2</v>
      </c>
      <c r="T13">
        <v>3</v>
      </c>
      <c r="Y13">
        <v>5</v>
      </c>
    </row>
    <row r="14" spans="2:34" thickBot="1" x14ac:dyDescent="0.35">
      <c r="B14" s="109" t="s">
        <v>230</v>
      </c>
    </row>
    <row r="15" spans="2:34" thickBot="1" x14ac:dyDescent="0.35">
      <c r="B15" s="108" t="s">
        <v>231</v>
      </c>
    </row>
    <row r="16" spans="2:34" thickBot="1" x14ac:dyDescent="0.35">
      <c r="B16" s="109" t="s">
        <v>232</v>
      </c>
    </row>
    <row r="17" spans="2:34" thickBot="1" x14ac:dyDescent="0.35">
      <c r="B17" s="108" t="s">
        <v>233</v>
      </c>
    </row>
    <row r="18" spans="2:34" thickBot="1" x14ac:dyDescent="0.35">
      <c r="B18" s="109" t="s">
        <v>234</v>
      </c>
    </row>
    <row r="19" spans="2:34" thickBot="1" x14ac:dyDescent="0.35">
      <c r="B19" s="108" t="s">
        <v>235</v>
      </c>
    </row>
    <row r="21" spans="2:34" ht="14.45" x14ac:dyDescent="0.3">
      <c r="B21" t="s">
        <v>288</v>
      </c>
      <c r="C21">
        <f>COUNTIF(C5:C13,"&gt;0")</f>
        <v>1</v>
      </c>
      <c r="D21">
        <f t="shared" ref="D21:AH21" si="0">COUNTIF(D5:D13,"&gt;0")</f>
        <v>0</v>
      </c>
      <c r="E21">
        <f t="shared" si="0"/>
        <v>6</v>
      </c>
      <c r="F21">
        <f t="shared" si="0"/>
        <v>0</v>
      </c>
      <c r="G21">
        <f t="shared" si="0"/>
        <v>0</v>
      </c>
      <c r="H21">
        <f t="shared" si="0"/>
        <v>0</v>
      </c>
      <c r="I21">
        <f t="shared" si="0"/>
        <v>0</v>
      </c>
      <c r="J21">
        <f t="shared" si="0"/>
        <v>1</v>
      </c>
      <c r="K21">
        <f t="shared" si="0"/>
        <v>8</v>
      </c>
      <c r="L21">
        <f t="shared" si="0"/>
        <v>8</v>
      </c>
      <c r="M21">
        <f t="shared" si="0"/>
        <v>5</v>
      </c>
      <c r="N21">
        <f t="shared" si="0"/>
        <v>1</v>
      </c>
      <c r="O21">
        <f t="shared" si="0"/>
        <v>1</v>
      </c>
      <c r="P21">
        <f t="shared" si="0"/>
        <v>0</v>
      </c>
      <c r="Q21">
        <f t="shared" si="0"/>
        <v>0</v>
      </c>
      <c r="R21">
        <f t="shared" si="0"/>
        <v>0</v>
      </c>
      <c r="S21">
        <f t="shared" si="0"/>
        <v>1</v>
      </c>
      <c r="T21">
        <f t="shared" si="0"/>
        <v>4</v>
      </c>
      <c r="U21">
        <f t="shared" si="0"/>
        <v>0</v>
      </c>
      <c r="V21">
        <f t="shared" si="0"/>
        <v>0</v>
      </c>
      <c r="W21">
        <f t="shared" si="0"/>
        <v>0</v>
      </c>
      <c r="X21">
        <f t="shared" si="0"/>
        <v>1</v>
      </c>
      <c r="Y21">
        <f t="shared" si="0"/>
        <v>7</v>
      </c>
      <c r="Z21">
        <f t="shared" si="0"/>
        <v>0</v>
      </c>
      <c r="AA21">
        <f t="shared" si="0"/>
        <v>0</v>
      </c>
      <c r="AB21">
        <f t="shared" si="0"/>
        <v>0</v>
      </c>
      <c r="AC21">
        <f t="shared" si="0"/>
        <v>1</v>
      </c>
      <c r="AD21">
        <f t="shared" si="0"/>
        <v>0</v>
      </c>
      <c r="AE21">
        <f t="shared" si="0"/>
        <v>0</v>
      </c>
      <c r="AF21">
        <f t="shared" si="0"/>
        <v>0</v>
      </c>
      <c r="AG21">
        <f t="shared" si="0"/>
        <v>0</v>
      </c>
      <c r="AH21">
        <f t="shared" si="0"/>
        <v>0</v>
      </c>
    </row>
    <row r="22" spans="2:34" ht="14.45" x14ac:dyDescent="0.3">
      <c r="B22" t="s">
        <v>289</v>
      </c>
    </row>
    <row r="23" spans="2:34" ht="14.45" x14ac:dyDescent="0.3">
      <c r="B23" t="s">
        <v>285</v>
      </c>
      <c r="C23">
        <f>COUNTIF(C5:C10,"&gt;0")</f>
        <v>0</v>
      </c>
      <c r="D23">
        <f t="shared" ref="D23" si="1">COUNTIF(D5:D10,"&gt;0")</f>
        <v>0</v>
      </c>
      <c r="E23">
        <f>COUNTIF(E5:E10,"&gt;0")</f>
        <v>5</v>
      </c>
      <c r="F23">
        <f t="shared" ref="F23:AH23" si="2">COUNTIF(F5:F10,"&gt;0")</f>
        <v>0</v>
      </c>
      <c r="G23">
        <f t="shared" si="2"/>
        <v>0</v>
      </c>
      <c r="H23">
        <f t="shared" si="2"/>
        <v>0</v>
      </c>
      <c r="I23">
        <f t="shared" si="2"/>
        <v>0</v>
      </c>
      <c r="J23">
        <f t="shared" si="2"/>
        <v>0</v>
      </c>
      <c r="K23">
        <f t="shared" si="2"/>
        <v>5</v>
      </c>
      <c r="L23">
        <f t="shared" si="2"/>
        <v>6</v>
      </c>
      <c r="M23">
        <f t="shared" si="2"/>
        <v>5</v>
      </c>
      <c r="N23">
        <f t="shared" si="2"/>
        <v>0</v>
      </c>
      <c r="O23">
        <f t="shared" si="2"/>
        <v>1</v>
      </c>
      <c r="P23">
        <f t="shared" si="2"/>
        <v>0</v>
      </c>
      <c r="Q23">
        <f t="shared" si="2"/>
        <v>0</v>
      </c>
      <c r="R23">
        <f t="shared" si="2"/>
        <v>0</v>
      </c>
      <c r="S23">
        <f t="shared" si="2"/>
        <v>0</v>
      </c>
      <c r="T23">
        <f t="shared" si="2"/>
        <v>1</v>
      </c>
      <c r="U23">
        <f t="shared" si="2"/>
        <v>0</v>
      </c>
      <c r="V23">
        <f t="shared" si="2"/>
        <v>0</v>
      </c>
      <c r="W23">
        <f t="shared" si="2"/>
        <v>0</v>
      </c>
      <c r="X23">
        <f t="shared" si="2"/>
        <v>1</v>
      </c>
      <c r="Y23">
        <f t="shared" si="2"/>
        <v>5</v>
      </c>
      <c r="Z23">
        <f t="shared" si="2"/>
        <v>0</v>
      </c>
      <c r="AA23">
        <f t="shared" si="2"/>
        <v>0</v>
      </c>
      <c r="AB23">
        <f t="shared" si="2"/>
        <v>0</v>
      </c>
      <c r="AC23">
        <f t="shared" si="2"/>
        <v>1</v>
      </c>
      <c r="AD23">
        <f t="shared" si="2"/>
        <v>0</v>
      </c>
      <c r="AE23">
        <f t="shared" si="2"/>
        <v>0</v>
      </c>
      <c r="AF23">
        <f t="shared" si="2"/>
        <v>0</v>
      </c>
      <c r="AG23">
        <f t="shared" si="2"/>
        <v>0</v>
      </c>
      <c r="AH23">
        <f t="shared" si="2"/>
        <v>0</v>
      </c>
    </row>
    <row r="24" spans="2:34" ht="14.45" x14ac:dyDescent="0.3">
      <c r="B24" t="s">
        <v>291</v>
      </c>
      <c r="C24">
        <f>COUNTIF(C11:C13,"&gt;0")</f>
        <v>1</v>
      </c>
      <c r="D24">
        <f t="shared" ref="D24:AH24" si="3">COUNTIF(D11:D13,"&gt;0")</f>
        <v>0</v>
      </c>
      <c r="E24">
        <f t="shared" si="3"/>
        <v>1</v>
      </c>
      <c r="F24">
        <f t="shared" si="3"/>
        <v>0</v>
      </c>
      <c r="G24">
        <f t="shared" si="3"/>
        <v>0</v>
      </c>
      <c r="H24">
        <f t="shared" si="3"/>
        <v>0</v>
      </c>
      <c r="I24">
        <f t="shared" si="3"/>
        <v>0</v>
      </c>
      <c r="J24">
        <f t="shared" si="3"/>
        <v>1</v>
      </c>
      <c r="K24">
        <f t="shared" si="3"/>
        <v>3</v>
      </c>
      <c r="L24">
        <f t="shared" si="3"/>
        <v>2</v>
      </c>
      <c r="M24">
        <f t="shared" si="3"/>
        <v>0</v>
      </c>
      <c r="N24">
        <f t="shared" si="3"/>
        <v>1</v>
      </c>
      <c r="O24">
        <f t="shared" si="3"/>
        <v>0</v>
      </c>
      <c r="P24">
        <f t="shared" si="3"/>
        <v>0</v>
      </c>
      <c r="Q24">
        <f t="shared" si="3"/>
        <v>0</v>
      </c>
      <c r="R24">
        <f t="shared" si="3"/>
        <v>0</v>
      </c>
      <c r="S24">
        <f t="shared" si="3"/>
        <v>1</v>
      </c>
      <c r="T24">
        <f t="shared" si="3"/>
        <v>3</v>
      </c>
      <c r="U24">
        <f t="shared" si="3"/>
        <v>0</v>
      </c>
      <c r="V24">
        <f t="shared" si="3"/>
        <v>0</v>
      </c>
      <c r="W24">
        <f t="shared" si="3"/>
        <v>0</v>
      </c>
      <c r="X24">
        <f t="shared" si="3"/>
        <v>0</v>
      </c>
      <c r="Y24">
        <f t="shared" si="3"/>
        <v>2</v>
      </c>
      <c r="Z24">
        <f t="shared" si="3"/>
        <v>0</v>
      </c>
      <c r="AA24">
        <f t="shared" si="3"/>
        <v>0</v>
      </c>
      <c r="AB24">
        <f t="shared" si="3"/>
        <v>0</v>
      </c>
      <c r="AC24">
        <f t="shared" si="3"/>
        <v>0</v>
      </c>
      <c r="AD24">
        <f t="shared" si="3"/>
        <v>0</v>
      </c>
      <c r="AE24">
        <f t="shared" si="3"/>
        <v>0</v>
      </c>
      <c r="AF24">
        <f t="shared" si="3"/>
        <v>0</v>
      </c>
      <c r="AG24">
        <f t="shared" si="3"/>
        <v>0</v>
      </c>
      <c r="AH24">
        <f t="shared" si="3"/>
        <v>0</v>
      </c>
    </row>
    <row r="25" spans="2:34" thickBot="1" x14ac:dyDescent="0.35"/>
    <row r="26" spans="2:34" thickBot="1" x14ac:dyDescent="0.35">
      <c r="B26">
        <v>2025</v>
      </c>
      <c r="C26" s="126" t="s">
        <v>286</v>
      </c>
      <c r="D26" s="127"/>
      <c r="E26" s="127"/>
      <c r="F26" s="127"/>
      <c r="G26" s="114" t="s">
        <v>287</v>
      </c>
      <c r="H26" s="112"/>
      <c r="I26" s="112"/>
      <c r="J26" s="113"/>
      <c r="K26" s="128" t="s">
        <v>6</v>
      </c>
      <c r="L26" s="125"/>
      <c r="M26" s="125"/>
      <c r="N26" s="125"/>
      <c r="O26" s="125" t="s">
        <v>8</v>
      </c>
      <c r="P26" s="125"/>
      <c r="Q26" s="125"/>
      <c r="R26" s="125"/>
      <c r="S26" s="125" t="s">
        <v>112</v>
      </c>
      <c r="T26" s="125"/>
      <c r="U26" s="125"/>
      <c r="V26" s="125"/>
      <c r="W26" s="125" t="s">
        <v>279</v>
      </c>
      <c r="X26" s="125"/>
      <c r="Y26" s="125"/>
      <c r="Z26" s="125"/>
      <c r="AA26" s="125" t="s">
        <v>14</v>
      </c>
      <c r="AB26" s="125"/>
      <c r="AC26" s="125"/>
      <c r="AD26" s="125"/>
      <c r="AE26" s="125" t="s">
        <v>153</v>
      </c>
      <c r="AF26" s="125"/>
      <c r="AG26" s="125"/>
      <c r="AH26" s="125"/>
    </row>
    <row r="27" spans="2:34" thickBot="1" x14ac:dyDescent="0.35">
      <c r="C27" s="79" t="s">
        <v>280</v>
      </c>
      <c r="D27" s="79" t="s">
        <v>281</v>
      </c>
      <c r="E27" s="79" t="s">
        <v>282</v>
      </c>
      <c r="F27" s="79" t="s">
        <v>283</v>
      </c>
      <c r="G27" s="79" t="s">
        <v>280</v>
      </c>
      <c r="H27" s="79" t="s">
        <v>281</v>
      </c>
      <c r="I27" s="79" t="s">
        <v>282</v>
      </c>
      <c r="J27" s="79" t="s">
        <v>283</v>
      </c>
      <c r="K27" s="79" t="s">
        <v>280</v>
      </c>
      <c r="L27" s="79" t="s">
        <v>281</v>
      </c>
      <c r="M27" s="79" t="s">
        <v>282</v>
      </c>
      <c r="N27" s="79" t="s">
        <v>283</v>
      </c>
      <c r="O27" s="79" t="s">
        <v>280</v>
      </c>
      <c r="P27" s="79" t="s">
        <v>281</v>
      </c>
      <c r="Q27" s="79" t="s">
        <v>282</v>
      </c>
      <c r="R27" s="79" t="s">
        <v>283</v>
      </c>
      <c r="S27" s="79" t="s">
        <v>280</v>
      </c>
      <c r="T27" s="79" t="s">
        <v>281</v>
      </c>
      <c r="U27" s="79" t="s">
        <v>282</v>
      </c>
      <c r="V27" s="79" t="s">
        <v>283</v>
      </c>
      <c r="W27" s="79" t="s">
        <v>280</v>
      </c>
      <c r="X27" s="79" t="s">
        <v>281</v>
      </c>
      <c r="Y27" s="79" t="s">
        <v>282</v>
      </c>
      <c r="Z27" s="79" t="s">
        <v>283</v>
      </c>
      <c r="AA27" s="79" t="s">
        <v>280</v>
      </c>
      <c r="AB27" s="79" t="s">
        <v>281</v>
      </c>
      <c r="AC27" s="79" t="s">
        <v>282</v>
      </c>
      <c r="AD27" s="79" t="s">
        <v>283</v>
      </c>
      <c r="AE27" s="79" t="s">
        <v>280</v>
      </c>
      <c r="AF27" s="79" t="s">
        <v>281</v>
      </c>
      <c r="AG27" s="79" t="s">
        <v>282</v>
      </c>
      <c r="AH27" s="79" t="s">
        <v>283</v>
      </c>
    </row>
    <row r="28" spans="2:34" thickBot="1" x14ac:dyDescent="0.35">
      <c r="B28" s="108" t="s">
        <v>220</v>
      </c>
      <c r="E28">
        <v>4</v>
      </c>
      <c r="L28">
        <v>1</v>
      </c>
      <c r="M28">
        <v>5</v>
      </c>
      <c r="Y28">
        <v>2</v>
      </c>
      <c r="AC28">
        <v>3</v>
      </c>
    </row>
    <row r="29" spans="2:34" thickBot="1" x14ac:dyDescent="0.35">
      <c r="B29" s="109" t="s">
        <v>221</v>
      </c>
      <c r="E29">
        <v>5</v>
      </c>
      <c r="L29">
        <v>4</v>
      </c>
      <c r="M29">
        <v>3</v>
      </c>
      <c r="Y29">
        <v>2</v>
      </c>
      <c r="AC29">
        <v>1</v>
      </c>
    </row>
    <row r="30" spans="2:34" ht="15.75" thickBot="1" x14ac:dyDescent="0.3">
      <c r="B30" s="108" t="s">
        <v>222</v>
      </c>
      <c r="E30">
        <v>2</v>
      </c>
      <c r="L30">
        <v>1</v>
      </c>
      <c r="M30">
        <v>4</v>
      </c>
      <c r="Q30">
        <v>3</v>
      </c>
      <c r="AC30">
        <v>5</v>
      </c>
    </row>
    <row r="31" spans="2:34" ht="15.75" thickBot="1" x14ac:dyDescent="0.3">
      <c r="B31" s="109" t="s">
        <v>223</v>
      </c>
      <c r="E31">
        <v>5</v>
      </c>
      <c r="L31">
        <v>3</v>
      </c>
      <c r="M31">
        <v>4</v>
      </c>
      <c r="Y31">
        <v>1</v>
      </c>
      <c r="AC31">
        <v>2</v>
      </c>
    </row>
    <row r="32" spans="2:34" ht="30.75" thickBot="1" x14ac:dyDescent="0.3">
      <c r="B32" s="108" t="s">
        <v>224</v>
      </c>
      <c r="E32">
        <v>5</v>
      </c>
      <c r="L32">
        <v>2</v>
      </c>
      <c r="M32">
        <v>4</v>
      </c>
      <c r="T32">
        <v>3</v>
      </c>
      <c r="Y32">
        <v>1</v>
      </c>
    </row>
    <row r="33" spans="2:34" ht="15.75" thickBot="1" x14ac:dyDescent="0.3">
      <c r="B33" s="109" t="s">
        <v>273</v>
      </c>
      <c r="E33">
        <v>4</v>
      </c>
      <c r="K33">
        <v>1</v>
      </c>
      <c r="O33">
        <v>5</v>
      </c>
      <c r="T33">
        <v>3</v>
      </c>
      <c r="Y33">
        <v>2</v>
      </c>
    </row>
    <row r="34" spans="2:34" ht="15.75" thickBot="1" x14ac:dyDescent="0.3">
      <c r="B34" s="108" t="s">
        <v>274</v>
      </c>
      <c r="D34">
        <v>5</v>
      </c>
      <c r="E34">
        <v>4</v>
      </c>
      <c r="S34">
        <v>2</v>
      </c>
      <c r="T34">
        <v>1</v>
      </c>
      <c r="Y34">
        <v>3</v>
      </c>
    </row>
    <row r="35" spans="2:34" ht="15.75" thickBot="1" x14ac:dyDescent="0.3">
      <c r="B35" s="109" t="s">
        <v>271</v>
      </c>
      <c r="D35">
        <v>2</v>
      </c>
      <c r="E35">
        <v>3</v>
      </c>
      <c r="K35">
        <v>4</v>
      </c>
      <c r="T35">
        <v>1</v>
      </c>
      <c r="Y35">
        <v>5</v>
      </c>
    </row>
    <row r="36" spans="2:34" ht="15.75" thickBot="1" x14ac:dyDescent="0.3">
      <c r="B36" s="108" t="s">
        <v>272</v>
      </c>
      <c r="E36">
        <v>5</v>
      </c>
      <c r="J36">
        <v>3</v>
      </c>
      <c r="K36">
        <v>4</v>
      </c>
      <c r="T36">
        <v>1</v>
      </c>
      <c r="Y36">
        <v>2</v>
      </c>
    </row>
    <row r="37" spans="2:34" ht="15.75" thickBot="1" x14ac:dyDescent="0.3">
      <c r="B37" s="109" t="s">
        <v>230</v>
      </c>
    </row>
    <row r="38" spans="2:34" ht="15.75" thickBot="1" x14ac:dyDescent="0.3">
      <c r="B38" s="108" t="s">
        <v>231</v>
      </c>
    </row>
    <row r="39" spans="2:34" ht="15.75" thickBot="1" x14ac:dyDescent="0.3">
      <c r="B39" s="109" t="s">
        <v>232</v>
      </c>
    </row>
    <row r="40" spans="2:34" ht="15.75" thickBot="1" x14ac:dyDescent="0.3">
      <c r="B40" s="108" t="s">
        <v>233</v>
      </c>
    </row>
    <row r="41" spans="2:34" ht="15.75" thickBot="1" x14ac:dyDescent="0.3">
      <c r="B41" s="109" t="s">
        <v>234</v>
      </c>
    </row>
    <row r="42" spans="2:34" ht="15.75" thickBot="1" x14ac:dyDescent="0.3">
      <c r="B42" s="108" t="s">
        <v>235</v>
      </c>
    </row>
    <row r="44" spans="2:34" x14ac:dyDescent="0.25">
      <c r="B44" t="s">
        <v>288</v>
      </c>
      <c r="C44">
        <f>COUNTIF(C28:C36,"&gt;0")</f>
        <v>0</v>
      </c>
      <c r="D44">
        <f t="shared" ref="D44:AH44" si="4">COUNTIF(D28:D36,"&gt;0")</f>
        <v>2</v>
      </c>
      <c r="E44">
        <f t="shared" si="4"/>
        <v>9</v>
      </c>
      <c r="F44">
        <f t="shared" si="4"/>
        <v>0</v>
      </c>
      <c r="G44">
        <f t="shared" si="4"/>
        <v>0</v>
      </c>
      <c r="H44">
        <f t="shared" si="4"/>
        <v>0</v>
      </c>
      <c r="I44">
        <f t="shared" si="4"/>
        <v>0</v>
      </c>
      <c r="J44">
        <f t="shared" si="4"/>
        <v>1</v>
      </c>
      <c r="K44">
        <f>COUNTIF(K28:K36,"&gt;0")</f>
        <v>3</v>
      </c>
      <c r="L44">
        <f t="shared" si="4"/>
        <v>5</v>
      </c>
      <c r="M44">
        <f t="shared" si="4"/>
        <v>5</v>
      </c>
      <c r="N44">
        <f t="shared" si="4"/>
        <v>0</v>
      </c>
      <c r="O44">
        <f t="shared" si="4"/>
        <v>1</v>
      </c>
      <c r="P44">
        <f t="shared" si="4"/>
        <v>0</v>
      </c>
      <c r="Q44">
        <f t="shared" si="4"/>
        <v>1</v>
      </c>
      <c r="R44">
        <f t="shared" si="4"/>
        <v>0</v>
      </c>
      <c r="S44">
        <f t="shared" si="4"/>
        <v>1</v>
      </c>
      <c r="T44">
        <f t="shared" si="4"/>
        <v>5</v>
      </c>
      <c r="U44">
        <f t="shared" si="4"/>
        <v>0</v>
      </c>
      <c r="V44">
        <f t="shared" si="4"/>
        <v>0</v>
      </c>
      <c r="W44">
        <f t="shared" si="4"/>
        <v>0</v>
      </c>
      <c r="X44">
        <f t="shared" si="4"/>
        <v>0</v>
      </c>
      <c r="Y44">
        <f t="shared" si="4"/>
        <v>8</v>
      </c>
      <c r="Z44">
        <f t="shared" si="4"/>
        <v>0</v>
      </c>
      <c r="AA44">
        <f t="shared" si="4"/>
        <v>0</v>
      </c>
      <c r="AB44">
        <f t="shared" si="4"/>
        <v>0</v>
      </c>
      <c r="AC44">
        <f t="shared" si="4"/>
        <v>4</v>
      </c>
      <c r="AD44">
        <f t="shared" si="4"/>
        <v>0</v>
      </c>
      <c r="AE44">
        <f t="shared" si="4"/>
        <v>0</v>
      </c>
      <c r="AF44">
        <f t="shared" si="4"/>
        <v>0</v>
      </c>
      <c r="AG44">
        <f t="shared" si="4"/>
        <v>0</v>
      </c>
      <c r="AH44">
        <f t="shared" si="4"/>
        <v>0</v>
      </c>
    </row>
    <row r="45" spans="2:34" x14ac:dyDescent="0.25">
      <c r="B45" t="s">
        <v>289</v>
      </c>
    </row>
    <row r="46" spans="2:34" x14ac:dyDescent="0.25">
      <c r="B46" t="s">
        <v>290</v>
      </c>
      <c r="C46">
        <f>COUNTIF(C28:C33,"&gt;0")</f>
        <v>0</v>
      </c>
      <c r="D46">
        <f t="shared" ref="D46:AH46" si="5">COUNTIF(D28:D33,"&gt;0")</f>
        <v>0</v>
      </c>
      <c r="E46">
        <f t="shared" si="5"/>
        <v>6</v>
      </c>
      <c r="F46">
        <f t="shared" si="5"/>
        <v>0</v>
      </c>
      <c r="G46">
        <f t="shared" si="5"/>
        <v>0</v>
      </c>
      <c r="H46">
        <f t="shared" si="5"/>
        <v>0</v>
      </c>
      <c r="I46">
        <f t="shared" si="5"/>
        <v>0</v>
      </c>
      <c r="J46">
        <f t="shared" si="5"/>
        <v>0</v>
      </c>
      <c r="K46">
        <f t="shared" si="5"/>
        <v>1</v>
      </c>
      <c r="L46">
        <f t="shared" si="5"/>
        <v>5</v>
      </c>
      <c r="M46">
        <f t="shared" si="5"/>
        <v>5</v>
      </c>
      <c r="N46">
        <f t="shared" si="5"/>
        <v>0</v>
      </c>
      <c r="O46">
        <f t="shared" si="5"/>
        <v>1</v>
      </c>
      <c r="P46">
        <f t="shared" si="5"/>
        <v>0</v>
      </c>
      <c r="Q46">
        <f t="shared" si="5"/>
        <v>1</v>
      </c>
      <c r="R46">
        <f t="shared" si="5"/>
        <v>0</v>
      </c>
      <c r="S46">
        <f t="shared" si="5"/>
        <v>0</v>
      </c>
      <c r="T46">
        <f t="shared" si="5"/>
        <v>2</v>
      </c>
      <c r="U46">
        <f t="shared" si="5"/>
        <v>0</v>
      </c>
      <c r="V46">
        <f t="shared" si="5"/>
        <v>0</v>
      </c>
      <c r="W46">
        <f t="shared" si="5"/>
        <v>0</v>
      </c>
      <c r="X46">
        <f t="shared" si="5"/>
        <v>0</v>
      </c>
      <c r="Y46">
        <f t="shared" si="5"/>
        <v>5</v>
      </c>
      <c r="Z46">
        <f t="shared" si="5"/>
        <v>0</v>
      </c>
      <c r="AA46">
        <f t="shared" si="5"/>
        <v>0</v>
      </c>
      <c r="AB46">
        <f t="shared" si="5"/>
        <v>0</v>
      </c>
      <c r="AC46">
        <f t="shared" si="5"/>
        <v>4</v>
      </c>
      <c r="AD46">
        <f t="shared" si="5"/>
        <v>0</v>
      </c>
      <c r="AE46">
        <f t="shared" si="5"/>
        <v>0</v>
      </c>
      <c r="AF46">
        <f t="shared" si="5"/>
        <v>0</v>
      </c>
      <c r="AG46">
        <f t="shared" si="5"/>
        <v>0</v>
      </c>
      <c r="AH46">
        <f t="shared" si="5"/>
        <v>0</v>
      </c>
    </row>
    <row r="47" spans="2:34" x14ac:dyDescent="0.25">
      <c r="B47" t="s">
        <v>291</v>
      </c>
      <c r="C47">
        <f>COUNTIF(C34:C36,"&gt;0")</f>
        <v>0</v>
      </c>
      <c r="D47">
        <f t="shared" ref="D47:AH47" si="6">COUNTIF(D34:D36,"&gt;0")</f>
        <v>2</v>
      </c>
      <c r="E47">
        <f t="shared" si="6"/>
        <v>3</v>
      </c>
      <c r="F47">
        <f t="shared" si="6"/>
        <v>0</v>
      </c>
      <c r="G47">
        <f t="shared" si="6"/>
        <v>0</v>
      </c>
      <c r="H47">
        <f t="shared" si="6"/>
        <v>0</v>
      </c>
      <c r="I47">
        <f t="shared" si="6"/>
        <v>0</v>
      </c>
      <c r="J47">
        <f t="shared" si="6"/>
        <v>1</v>
      </c>
      <c r="K47">
        <f t="shared" si="6"/>
        <v>2</v>
      </c>
      <c r="L47">
        <f t="shared" si="6"/>
        <v>0</v>
      </c>
      <c r="M47">
        <f t="shared" si="6"/>
        <v>0</v>
      </c>
      <c r="N47">
        <f t="shared" si="6"/>
        <v>0</v>
      </c>
      <c r="O47">
        <f t="shared" si="6"/>
        <v>0</v>
      </c>
      <c r="P47">
        <f t="shared" si="6"/>
        <v>0</v>
      </c>
      <c r="Q47">
        <f t="shared" si="6"/>
        <v>0</v>
      </c>
      <c r="R47">
        <f t="shared" si="6"/>
        <v>0</v>
      </c>
      <c r="S47">
        <f t="shared" si="6"/>
        <v>1</v>
      </c>
      <c r="T47">
        <f t="shared" si="6"/>
        <v>3</v>
      </c>
      <c r="U47">
        <f t="shared" si="6"/>
        <v>0</v>
      </c>
      <c r="V47">
        <f t="shared" si="6"/>
        <v>0</v>
      </c>
      <c r="W47">
        <f t="shared" si="6"/>
        <v>0</v>
      </c>
      <c r="X47">
        <f t="shared" si="6"/>
        <v>0</v>
      </c>
      <c r="Y47">
        <f t="shared" si="6"/>
        <v>3</v>
      </c>
      <c r="Z47">
        <f t="shared" si="6"/>
        <v>0</v>
      </c>
      <c r="AA47">
        <f t="shared" si="6"/>
        <v>0</v>
      </c>
      <c r="AB47">
        <f t="shared" si="6"/>
        <v>0</v>
      </c>
      <c r="AC47">
        <f t="shared" si="6"/>
        <v>0</v>
      </c>
      <c r="AD47">
        <f t="shared" si="6"/>
        <v>0</v>
      </c>
      <c r="AE47">
        <f t="shared" si="6"/>
        <v>0</v>
      </c>
      <c r="AF47">
        <f t="shared" si="6"/>
        <v>0</v>
      </c>
      <c r="AG47">
        <f t="shared" si="6"/>
        <v>0</v>
      </c>
      <c r="AH47">
        <f t="shared" si="6"/>
        <v>0</v>
      </c>
    </row>
  </sheetData>
  <mergeCells count="14">
    <mergeCell ref="AA3:AD3"/>
    <mergeCell ref="AE3:AH3"/>
    <mergeCell ref="C26:F26"/>
    <mergeCell ref="K26:N26"/>
    <mergeCell ref="O26:R26"/>
    <mergeCell ref="S26:V26"/>
    <mergeCell ref="W26:Z26"/>
    <mergeCell ref="AA26:AD26"/>
    <mergeCell ref="AE26:AH26"/>
    <mergeCell ref="C3:F3"/>
    <mergeCell ref="K3:N3"/>
    <mergeCell ref="O3:R3"/>
    <mergeCell ref="S3:V3"/>
    <mergeCell ref="W3:Z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4"/>
  <sheetViews>
    <sheetView topLeftCell="A13" workbookViewId="0">
      <selection activeCell="M28" sqref="M28"/>
    </sheetView>
  </sheetViews>
  <sheetFormatPr defaultRowHeight="15" x14ac:dyDescent="0.25"/>
  <cols>
    <col min="2" max="2" width="11" bestFit="1" customWidth="1"/>
    <col min="3" max="3" width="9.7109375" customWidth="1"/>
    <col min="4" max="4" width="16.85546875" bestFit="1" customWidth="1"/>
    <col min="5" max="5" width="18" customWidth="1"/>
    <col min="6" max="6" width="9.7109375" hidden="1" customWidth="1"/>
    <col min="7" max="7" width="16.85546875" bestFit="1" customWidth="1"/>
    <col min="8" max="8" width="18" customWidth="1"/>
    <col min="9" max="9" width="8.85546875" hidden="1" customWidth="1"/>
    <col min="10" max="10" width="10.140625" bestFit="1" customWidth="1"/>
    <col min="11" max="11" width="27" customWidth="1"/>
    <col min="12" max="12" width="11" bestFit="1" customWidth="1"/>
    <col min="13" max="13" width="46.28515625" bestFit="1" customWidth="1"/>
  </cols>
  <sheetData>
    <row r="2" spans="2:14" ht="15.75" thickBot="1" x14ac:dyDescent="0.3"/>
    <row r="3" spans="2:14" ht="15.75" thickBot="1" x14ac:dyDescent="0.3">
      <c r="B3" s="129" t="s">
        <v>73</v>
      </c>
      <c r="C3" s="85" t="s">
        <v>229</v>
      </c>
      <c r="D3" s="135" t="s">
        <v>306</v>
      </c>
      <c r="E3" s="136"/>
      <c r="F3" s="83"/>
      <c r="G3" s="135" t="s">
        <v>307</v>
      </c>
      <c r="H3" s="137"/>
      <c r="I3" s="82"/>
      <c r="J3" s="131" t="s">
        <v>218</v>
      </c>
      <c r="K3" s="133" t="s">
        <v>219</v>
      </c>
    </row>
    <row r="4" spans="2:14" s="76" customFormat="1" ht="27" customHeight="1" thickBot="1" x14ac:dyDescent="0.3">
      <c r="B4" s="130"/>
      <c r="C4" s="84" t="s">
        <v>236</v>
      </c>
      <c r="D4" s="81" t="s">
        <v>296</v>
      </c>
      <c r="E4" s="81" t="s">
        <v>295</v>
      </c>
      <c r="F4" s="81" t="s">
        <v>217</v>
      </c>
      <c r="G4" s="81" t="s">
        <v>297</v>
      </c>
      <c r="H4" s="81" t="s">
        <v>295</v>
      </c>
      <c r="I4" s="86" t="s">
        <v>217</v>
      </c>
      <c r="J4" s="132"/>
      <c r="K4" s="134"/>
    </row>
    <row r="5" spans="2:14" s="76" customFormat="1" ht="16.149999999999999" customHeight="1" thickBot="1" x14ac:dyDescent="0.3">
      <c r="B5" s="87">
        <v>350130008</v>
      </c>
      <c r="C5" s="87">
        <v>64.7</v>
      </c>
      <c r="D5" s="87">
        <v>59.4</v>
      </c>
      <c r="E5" s="87">
        <f>ABS(D5-C5)</f>
        <v>5.3000000000000043</v>
      </c>
      <c r="F5" s="87"/>
      <c r="G5" s="91">
        <v>59.6</v>
      </c>
      <c r="H5" s="91">
        <f>ABS(-5.1)</f>
        <v>5.0999999999999996</v>
      </c>
      <c r="I5" s="87">
        <v>0.91869999999999996</v>
      </c>
      <c r="J5" s="87" t="s">
        <v>51</v>
      </c>
      <c r="K5" s="87" t="s">
        <v>220</v>
      </c>
      <c r="N5" s="76">
        <f>(ABS(E5)-ABS(H5))</f>
        <v>0.20000000000000462</v>
      </c>
    </row>
    <row r="6" spans="2:14" s="76" customFormat="1" ht="16.149999999999999" customHeight="1" thickBot="1" x14ac:dyDescent="0.3">
      <c r="B6" s="80">
        <v>350130017</v>
      </c>
      <c r="C6" s="80">
        <v>66.7</v>
      </c>
      <c r="D6" s="80">
        <v>60.4</v>
      </c>
      <c r="E6" s="80">
        <f t="shared" ref="E6:E19" si="0">ABS(D6-C6)</f>
        <v>6.3000000000000043</v>
      </c>
      <c r="F6" s="80"/>
      <c r="G6" s="90">
        <v>60.4</v>
      </c>
      <c r="H6" s="90">
        <f>ABS(-6.3)</f>
        <v>6.3</v>
      </c>
      <c r="I6" s="80">
        <v>0.91710000000000003</v>
      </c>
      <c r="J6" s="80" t="s">
        <v>51</v>
      </c>
      <c r="K6" s="80" t="s">
        <v>221</v>
      </c>
      <c r="N6" s="76">
        <f t="shared" ref="N6:N21" si="1">(ABS(E6)-ABS(H6))</f>
        <v>4.4408920985006262E-15</v>
      </c>
    </row>
    <row r="7" spans="2:14" s="76" customFormat="1" ht="16.149999999999999" customHeight="1" thickBot="1" x14ac:dyDescent="0.3">
      <c r="B7" s="87">
        <v>350130020</v>
      </c>
      <c r="C7" s="87">
        <v>67.7</v>
      </c>
      <c r="D7" s="87">
        <v>63.4</v>
      </c>
      <c r="E7" s="87">
        <f t="shared" si="0"/>
        <v>4.3000000000000043</v>
      </c>
      <c r="F7" s="87"/>
      <c r="G7" s="88">
        <v>63.3</v>
      </c>
      <c r="H7" s="88">
        <f>ABS(-4.4)</f>
        <v>4.4000000000000004</v>
      </c>
      <c r="I7" s="87">
        <v>0.93240000000000001</v>
      </c>
      <c r="J7" s="87" t="s">
        <v>51</v>
      </c>
      <c r="K7" s="87" t="s">
        <v>222</v>
      </c>
      <c r="N7" s="76">
        <f t="shared" si="1"/>
        <v>-9.9999999999996092E-2</v>
      </c>
    </row>
    <row r="8" spans="2:14" s="76" customFormat="1" ht="16.149999999999999" customHeight="1" thickBot="1" x14ac:dyDescent="0.3">
      <c r="B8" s="80">
        <v>350130021</v>
      </c>
      <c r="C8" s="78">
        <v>71</v>
      </c>
      <c r="D8" s="80">
        <v>64.8</v>
      </c>
      <c r="E8" s="80">
        <f t="shared" si="0"/>
        <v>6.2000000000000028</v>
      </c>
      <c r="F8" s="80"/>
      <c r="G8" s="89">
        <v>64.8</v>
      </c>
      <c r="H8" s="89">
        <f>ABS(-6.2)</f>
        <v>6.2</v>
      </c>
      <c r="I8" s="80">
        <v>0.91710000000000003</v>
      </c>
      <c r="J8" s="80" t="s">
        <v>51</v>
      </c>
      <c r="K8" s="80" t="s">
        <v>223</v>
      </c>
      <c r="N8" s="76">
        <f t="shared" si="1"/>
        <v>2.6645352591003757E-15</v>
      </c>
    </row>
    <row r="9" spans="2:14" s="76" customFormat="1" ht="16.149999999999999" customHeight="1" thickBot="1" x14ac:dyDescent="0.3">
      <c r="B9" s="87">
        <v>350130022</v>
      </c>
      <c r="C9" s="77">
        <v>70.3</v>
      </c>
      <c r="D9" s="87">
        <v>65.7</v>
      </c>
      <c r="E9" s="87">
        <f>ABS(D9-C9)</f>
        <v>4.5999999999999943</v>
      </c>
      <c r="F9" s="87"/>
      <c r="G9" s="88">
        <v>65.2</v>
      </c>
      <c r="H9" s="88">
        <f>ABS(-5.1)</f>
        <v>5.0999999999999996</v>
      </c>
      <c r="I9" s="87">
        <v>0.91749999999999998</v>
      </c>
      <c r="J9" s="87" t="s">
        <v>51</v>
      </c>
      <c r="K9" s="87" t="s">
        <v>224</v>
      </c>
      <c r="N9" s="76">
        <f t="shared" si="1"/>
        <v>-0.50000000000000533</v>
      </c>
    </row>
    <row r="10" spans="2:14" s="76" customFormat="1" ht="16.149999999999999" customHeight="1" thickBot="1" x14ac:dyDescent="0.3">
      <c r="B10" s="80">
        <v>350130023</v>
      </c>
      <c r="C10" s="80">
        <v>64.3</v>
      </c>
      <c r="D10" s="80">
        <v>61.8</v>
      </c>
      <c r="E10" s="80">
        <f t="shared" si="0"/>
        <v>2.5</v>
      </c>
      <c r="F10" s="80"/>
      <c r="G10" s="89">
        <v>60.6</v>
      </c>
      <c r="H10" s="89">
        <f>ABS(-3.7)</f>
        <v>3.7</v>
      </c>
      <c r="I10" s="80">
        <v>0.94159999999999999</v>
      </c>
      <c r="J10" s="80" t="s">
        <v>51</v>
      </c>
      <c r="K10" s="80" t="s">
        <v>225</v>
      </c>
      <c r="N10" s="76">
        <f t="shared" si="1"/>
        <v>-1.2000000000000002</v>
      </c>
    </row>
    <row r="11" spans="2:14" s="76" customFormat="1" ht="16.149999999999999" customHeight="1" thickBot="1" x14ac:dyDescent="0.3">
      <c r="B11" s="87">
        <v>350151005</v>
      </c>
      <c r="C11" s="77">
        <v>70.3</v>
      </c>
      <c r="D11" s="87">
        <v>68.2</v>
      </c>
      <c r="E11" s="87">
        <f t="shared" si="0"/>
        <v>2.0999999999999943</v>
      </c>
      <c r="F11" s="87"/>
      <c r="G11" s="91">
        <v>65.2</v>
      </c>
      <c r="H11" s="91">
        <f>ABS(-5.1)</f>
        <v>5.0999999999999996</v>
      </c>
      <c r="I11" s="87">
        <v>0.92789999999999995</v>
      </c>
      <c r="J11" s="87" t="s">
        <v>52</v>
      </c>
      <c r="K11" s="87" t="s">
        <v>274</v>
      </c>
      <c r="N11" s="76">
        <f t="shared" si="1"/>
        <v>-3.0000000000000053</v>
      </c>
    </row>
    <row r="12" spans="2:14" s="76" customFormat="1" ht="16.149999999999999" customHeight="1" thickBot="1" x14ac:dyDescent="0.3">
      <c r="B12" s="80">
        <v>350171003</v>
      </c>
      <c r="C12" s="80">
        <v>65</v>
      </c>
      <c r="D12" s="80">
        <v>63.7</v>
      </c>
      <c r="E12" s="80">
        <f t="shared" si="0"/>
        <v>1.2999999999999972</v>
      </c>
      <c r="F12" s="80"/>
      <c r="G12" s="90">
        <v>62.2</v>
      </c>
      <c r="H12" s="90">
        <f>ABS(-2.8)</f>
        <v>2.8</v>
      </c>
      <c r="I12" s="80">
        <v>0.96509999999999996</v>
      </c>
      <c r="J12" s="80" t="s">
        <v>53</v>
      </c>
      <c r="K12" s="80" t="s">
        <v>271</v>
      </c>
      <c r="N12" s="76">
        <f t="shared" si="1"/>
        <v>-1.5000000000000027</v>
      </c>
    </row>
    <row r="13" spans="2:14" s="76" customFormat="1" ht="15.6" customHeight="1" thickBot="1" x14ac:dyDescent="0.3">
      <c r="B13" s="87">
        <v>350290003</v>
      </c>
      <c r="C13" s="87">
        <v>63</v>
      </c>
      <c r="D13" s="87">
        <v>61.1</v>
      </c>
      <c r="E13" s="87">
        <f t="shared" si="0"/>
        <v>1.8999999999999986</v>
      </c>
      <c r="F13" s="87"/>
      <c r="G13" s="91">
        <v>59.2</v>
      </c>
      <c r="H13" s="91">
        <f>ABS(-3.8)</f>
        <v>3.8</v>
      </c>
      <c r="I13" s="87">
        <v>0.94530000000000003</v>
      </c>
      <c r="J13" s="87" t="s">
        <v>54</v>
      </c>
      <c r="K13" s="87" t="s">
        <v>272</v>
      </c>
      <c r="N13" s="76">
        <f t="shared" si="1"/>
        <v>-1.9000000000000012</v>
      </c>
    </row>
    <row r="14" spans="2:14" s="76" customFormat="1" ht="16.149999999999999" customHeight="1" thickBot="1" x14ac:dyDescent="0.3">
      <c r="B14" s="80">
        <v>481410029</v>
      </c>
      <c r="C14" s="80">
        <v>65</v>
      </c>
      <c r="D14" s="80">
        <v>59.3</v>
      </c>
      <c r="E14" s="80">
        <f t="shared" si="0"/>
        <v>5.7000000000000028</v>
      </c>
      <c r="F14" s="80"/>
      <c r="G14" s="90">
        <v>59.5</v>
      </c>
      <c r="H14" s="90">
        <f>ABS(-5.5)</f>
        <v>5.5</v>
      </c>
      <c r="I14" s="80" t="str">
        <f t="shared" ref="I14:I19" si="2">"-"</f>
        <v>-</v>
      </c>
      <c r="J14" s="80" t="s">
        <v>56</v>
      </c>
      <c r="K14" s="80" t="s">
        <v>230</v>
      </c>
      <c r="L14" s="88">
        <v>481410029</v>
      </c>
      <c r="M14" s="88" t="s">
        <v>237</v>
      </c>
      <c r="N14" s="76">
        <f t="shared" si="1"/>
        <v>0.20000000000000284</v>
      </c>
    </row>
    <row r="15" spans="2:14" s="76" customFormat="1" ht="16.149999999999999" customHeight="1" thickBot="1" x14ac:dyDescent="0.3">
      <c r="B15" s="87">
        <v>481410037</v>
      </c>
      <c r="C15" s="78">
        <v>71</v>
      </c>
      <c r="D15" s="87">
        <v>64.2</v>
      </c>
      <c r="E15" s="87">
        <f t="shared" si="0"/>
        <v>6.7999999999999972</v>
      </c>
      <c r="F15" s="87"/>
      <c r="G15" s="91">
        <v>64.5</v>
      </c>
      <c r="H15" s="91">
        <f>ABS(-6.5)</f>
        <v>6.5</v>
      </c>
      <c r="I15" s="87" t="str">
        <f t="shared" si="2"/>
        <v>-</v>
      </c>
      <c r="J15" s="87" t="s">
        <v>56</v>
      </c>
      <c r="K15" s="87" t="s">
        <v>231</v>
      </c>
      <c r="L15" s="89">
        <v>481410037</v>
      </c>
      <c r="M15" s="89" t="s">
        <v>238</v>
      </c>
      <c r="N15" s="76">
        <f t="shared" si="1"/>
        <v>0.29999999999999716</v>
      </c>
    </row>
    <row r="16" spans="2:14" s="76" customFormat="1" ht="16.149999999999999" customHeight="1" thickBot="1" x14ac:dyDescent="0.3">
      <c r="B16" s="80">
        <v>481410044</v>
      </c>
      <c r="C16" s="80">
        <v>69</v>
      </c>
      <c r="D16" s="80">
        <v>62.6</v>
      </c>
      <c r="E16" s="80">
        <f t="shared" si="0"/>
        <v>6.3999999999999986</v>
      </c>
      <c r="F16" s="80"/>
      <c r="G16" s="90">
        <v>63.1</v>
      </c>
      <c r="H16" s="90">
        <f>ABS(-5.9)</f>
        <v>5.9</v>
      </c>
      <c r="I16" s="80" t="str">
        <f t="shared" si="2"/>
        <v>-</v>
      </c>
      <c r="J16" s="80" t="s">
        <v>56</v>
      </c>
      <c r="K16" s="80" t="s">
        <v>232</v>
      </c>
      <c r="L16" s="88">
        <v>481410044</v>
      </c>
      <c r="M16" s="88" t="s">
        <v>239</v>
      </c>
      <c r="N16" s="76">
        <f t="shared" si="1"/>
        <v>0.49999999999999822</v>
      </c>
    </row>
    <row r="17" spans="2:14" s="76" customFormat="1" ht="16.149999999999999" customHeight="1" thickBot="1" x14ac:dyDescent="0.3">
      <c r="B17" s="87">
        <v>481410055</v>
      </c>
      <c r="C17" s="87">
        <v>66.3</v>
      </c>
      <c r="D17" s="87">
        <v>59.9</v>
      </c>
      <c r="E17" s="87">
        <f t="shared" si="0"/>
        <v>6.3999999999999986</v>
      </c>
      <c r="F17" s="87"/>
      <c r="G17" s="91">
        <v>60.4</v>
      </c>
      <c r="H17" s="91">
        <f>ABS(-5.9)</f>
        <v>5.9</v>
      </c>
      <c r="I17" s="87" t="str">
        <f t="shared" si="2"/>
        <v>-</v>
      </c>
      <c r="J17" s="87" t="s">
        <v>56</v>
      </c>
      <c r="K17" s="87" t="s">
        <v>233</v>
      </c>
      <c r="L17" s="89">
        <v>481410055</v>
      </c>
      <c r="M17" s="89" t="s">
        <v>240</v>
      </c>
      <c r="N17" s="76">
        <f t="shared" si="1"/>
        <v>0.49999999999999822</v>
      </c>
    </row>
    <row r="18" spans="2:14" s="76" customFormat="1" ht="16.149999999999999" customHeight="1" thickBot="1" x14ac:dyDescent="0.3">
      <c r="B18" s="80">
        <v>481410057</v>
      </c>
      <c r="C18" s="80">
        <v>66</v>
      </c>
      <c r="D18" s="80">
        <v>60.3</v>
      </c>
      <c r="E18" s="80">
        <f t="shared" si="0"/>
        <v>5.7000000000000028</v>
      </c>
      <c r="F18" s="80"/>
      <c r="G18" s="90">
        <v>60.7</v>
      </c>
      <c r="H18" s="90">
        <f>ABS(-5.3)</f>
        <v>5.3</v>
      </c>
      <c r="I18" s="80" t="str">
        <f t="shared" si="2"/>
        <v>-</v>
      </c>
      <c r="J18" s="80" t="s">
        <v>56</v>
      </c>
      <c r="K18" s="80" t="s">
        <v>234</v>
      </c>
      <c r="L18" s="88">
        <v>481410057</v>
      </c>
      <c r="M18" s="88" t="s">
        <v>241</v>
      </c>
      <c r="N18" s="76">
        <f t="shared" si="1"/>
        <v>0.40000000000000302</v>
      </c>
    </row>
    <row r="19" spans="2:14" s="76" customFormat="1" ht="16.149999999999999" customHeight="1" thickBot="1" x14ac:dyDescent="0.3">
      <c r="B19" s="87">
        <v>481410058</v>
      </c>
      <c r="C19" s="87">
        <v>69.3</v>
      </c>
      <c r="D19" s="87">
        <v>64</v>
      </c>
      <c r="E19" s="87">
        <f t="shared" si="0"/>
        <v>5.2999999999999972</v>
      </c>
      <c r="F19" s="87"/>
      <c r="G19" s="91">
        <v>64.400000000000006</v>
      </c>
      <c r="H19" s="91">
        <f>ABS(-4.9)</f>
        <v>4.9000000000000004</v>
      </c>
      <c r="I19" s="87" t="str">
        <f t="shared" si="2"/>
        <v>-</v>
      </c>
      <c r="J19" s="87" t="s">
        <v>56</v>
      </c>
      <c r="K19" s="87" t="s">
        <v>235</v>
      </c>
      <c r="L19" s="89">
        <v>481410058</v>
      </c>
      <c r="M19" s="89" t="s">
        <v>242</v>
      </c>
      <c r="N19" s="76">
        <f t="shared" si="1"/>
        <v>0.3999999999999968</v>
      </c>
    </row>
    <row r="20" spans="2:14" x14ac:dyDescent="0.25">
      <c r="N20" s="76">
        <f t="shared" si="1"/>
        <v>0</v>
      </c>
    </row>
    <row r="21" spans="2:14" x14ac:dyDescent="0.25">
      <c r="E21" t="s">
        <v>243</v>
      </c>
      <c r="H21" t="s">
        <v>243</v>
      </c>
      <c r="N21" s="76" t="e">
        <f t="shared" si="1"/>
        <v>#VALUE!</v>
      </c>
    </row>
    <row r="22" spans="2:14" x14ac:dyDescent="0.25">
      <c r="E22">
        <f>AVERAGE(E5:E10)</f>
        <v>4.866666666666668</v>
      </c>
      <c r="H22">
        <f>AVERAGE(H5:H10)</f>
        <v>5.1333333333333337</v>
      </c>
    </row>
    <row r="23" spans="2:14" x14ac:dyDescent="0.25">
      <c r="E23">
        <f>MIN(E5:E10)</f>
        <v>2.5</v>
      </c>
      <c r="H23">
        <f>MIN(H5:H10)</f>
        <v>3.7</v>
      </c>
    </row>
    <row r="24" spans="2:14" x14ac:dyDescent="0.25">
      <c r="E24">
        <f>MAX(E5:E10)</f>
        <v>6.3000000000000043</v>
      </c>
      <c r="H24">
        <f>MAX(H5:H10)</f>
        <v>6.3</v>
      </c>
    </row>
  </sheetData>
  <mergeCells count="5">
    <mergeCell ref="B3:B4"/>
    <mergeCell ref="J3:J4"/>
    <mergeCell ref="K3:K4"/>
    <mergeCell ref="D3:E3"/>
    <mergeCell ref="G3:H3"/>
  </mergeCells>
  <pageMargins left="0.7" right="0.7" top="0.75" bottom="0.75" header="0.3" footer="0.3"/>
  <pageSetup orientation="portrait" r:id="rId1"/>
  <ignoredErrors>
    <ignoredError sqref="H10"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workbookViewId="0">
      <selection activeCell="A4" sqref="A4:F6"/>
    </sheetView>
  </sheetViews>
  <sheetFormatPr defaultRowHeight="15" x14ac:dyDescent="0.25"/>
  <cols>
    <col min="4" max="6" width="14.7109375" customWidth="1"/>
  </cols>
  <sheetData>
    <row r="2" spans="1:6" ht="14.45" x14ac:dyDescent="0.3">
      <c r="D2" s="125" t="s">
        <v>247</v>
      </c>
      <c r="E2" s="125"/>
      <c r="F2" s="125"/>
    </row>
    <row r="3" spans="1:6" x14ac:dyDescent="0.25">
      <c r="D3" s="125" t="s">
        <v>246</v>
      </c>
      <c r="E3" s="125"/>
      <c r="F3" s="125"/>
    </row>
    <row r="4" spans="1:6" ht="14.45" x14ac:dyDescent="0.3">
      <c r="A4" s="139"/>
      <c r="B4" s="139"/>
      <c r="C4" s="139"/>
      <c r="D4" s="93" t="s">
        <v>248</v>
      </c>
      <c r="E4" s="93" t="s">
        <v>249</v>
      </c>
      <c r="F4" s="93" t="s">
        <v>250</v>
      </c>
    </row>
    <row r="5" spans="1:6" ht="14.45" x14ac:dyDescent="0.3">
      <c r="A5" s="138" t="s">
        <v>245</v>
      </c>
      <c r="B5" s="138"/>
      <c r="C5" s="138"/>
      <c r="D5" s="122">
        <f>Mexico_Contribution!H22</f>
        <v>5.1333333333333337</v>
      </c>
      <c r="E5" s="92">
        <f>MAX(Mexico_Contribution!H5:H10)</f>
        <v>6.3</v>
      </c>
      <c r="F5" s="92">
        <f>MIN(Mexico_Contribution!H5:H10)</f>
        <v>3.7</v>
      </c>
    </row>
    <row r="6" spans="1:6" ht="14.45" x14ac:dyDescent="0.3">
      <c r="A6" s="58" t="s">
        <v>244</v>
      </c>
      <c r="B6" s="58"/>
      <c r="C6" s="58"/>
      <c r="D6" s="122">
        <f>Mexico_Contribution!E22</f>
        <v>4.866666666666668</v>
      </c>
      <c r="E6" s="92">
        <f>MAX(Mexico_Contribution!E5:E10)</f>
        <v>6.3000000000000043</v>
      </c>
      <c r="F6" s="92">
        <f>MIN(Mexico_Contribution!E5:E10)</f>
        <v>2.5</v>
      </c>
    </row>
  </sheetData>
  <mergeCells count="4">
    <mergeCell ref="A5:C5"/>
    <mergeCell ref="D3:F3"/>
    <mergeCell ref="D2:F2"/>
    <mergeCell ref="A4:C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1"/>
  <sheetViews>
    <sheetView topLeftCell="E1" zoomScale="85" zoomScaleNormal="85" workbookViewId="0">
      <selection activeCell="O27" sqref="O27"/>
    </sheetView>
  </sheetViews>
  <sheetFormatPr defaultRowHeight="15" x14ac:dyDescent="0.25"/>
  <cols>
    <col min="1" max="1" width="14.7109375" customWidth="1"/>
    <col min="2" max="2" width="12.42578125" bestFit="1" customWidth="1"/>
    <col min="3" max="3" width="10.140625" bestFit="1" customWidth="1"/>
    <col min="4" max="4" width="11.5703125" bestFit="1" customWidth="1"/>
    <col min="5" max="5" width="13.5703125" bestFit="1" customWidth="1"/>
    <col min="6" max="7" width="5.85546875" bestFit="1" customWidth="1"/>
    <col min="8" max="8" width="9.28515625" bestFit="1" customWidth="1"/>
    <col min="9" max="9" width="15.5703125" bestFit="1" customWidth="1"/>
    <col min="10" max="10" width="8.140625" bestFit="1" customWidth="1"/>
    <col min="11" max="11" width="5.85546875" bestFit="1" customWidth="1"/>
    <col min="12" max="12" width="5.5703125" bestFit="1" customWidth="1"/>
    <col min="14" max="14" width="19.85546875" customWidth="1"/>
    <col min="15" max="15" width="12.42578125" bestFit="1" customWidth="1"/>
    <col min="16" max="16" width="10.140625" bestFit="1" customWidth="1"/>
    <col min="17" max="17" width="4.42578125" bestFit="1" customWidth="1"/>
    <col min="18" max="18" width="4.7109375" bestFit="1" customWidth="1"/>
    <col min="19" max="19" width="5.85546875" bestFit="1" customWidth="1"/>
    <col min="20" max="20" width="23.5703125" bestFit="1" customWidth="1"/>
    <col min="21" max="21" width="20.7109375" customWidth="1"/>
    <col min="22" max="22" width="19" customWidth="1"/>
    <col min="23" max="23" width="22.85546875" customWidth="1"/>
    <col min="24" max="24" width="5.85546875" bestFit="1" customWidth="1"/>
    <col min="25" max="25" width="5.5703125" bestFit="1" customWidth="1"/>
  </cols>
  <sheetData>
    <row r="2" spans="1:23" ht="21" x14ac:dyDescent="0.4">
      <c r="A2" s="94" t="s">
        <v>251</v>
      </c>
      <c r="N2" s="14" t="s">
        <v>252</v>
      </c>
    </row>
    <row r="3" spans="1:23" ht="14.45" x14ac:dyDescent="0.3">
      <c r="A3" s="68" t="s">
        <v>73</v>
      </c>
      <c r="B3" s="68" t="s">
        <v>60</v>
      </c>
      <c r="C3" s="68" t="s">
        <v>218</v>
      </c>
      <c r="D3" s="68" t="s">
        <v>58</v>
      </c>
      <c r="E3" s="68" t="s">
        <v>59</v>
      </c>
      <c r="F3" s="68" t="s">
        <v>253</v>
      </c>
      <c r="G3" s="68" t="s">
        <v>215</v>
      </c>
      <c r="H3" s="68" t="s">
        <v>228</v>
      </c>
      <c r="I3" s="68" t="s">
        <v>254</v>
      </c>
      <c r="J3" s="68" t="s">
        <v>255</v>
      </c>
      <c r="K3" s="68" t="s">
        <v>256</v>
      </c>
      <c r="L3" s="68" t="s">
        <v>257</v>
      </c>
      <c r="N3" s="68" t="s">
        <v>73</v>
      </c>
      <c r="O3" s="68" t="s">
        <v>60</v>
      </c>
      <c r="P3" s="68" t="s">
        <v>218</v>
      </c>
      <c r="Q3" s="68" t="s">
        <v>58</v>
      </c>
      <c r="R3" s="68" t="s">
        <v>59</v>
      </c>
      <c r="S3" s="68" t="s">
        <v>253</v>
      </c>
      <c r="T3" s="68" t="s">
        <v>258</v>
      </c>
      <c r="U3" s="68" t="s">
        <v>259</v>
      </c>
      <c r="V3" s="68" t="s">
        <v>260</v>
      </c>
      <c r="W3" s="68" t="s">
        <v>261</v>
      </c>
    </row>
    <row r="4" spans="1:23" ht="14.45" x14ac:dyDescent="0.3">
      <c r="A4">
        <v>350130008</v>
      </c>
      <c r="B4" t="s">
        <v>50</v>
      </c>
      <c r="C4" t="s">
        <v>51</v>
      </c>
      <c r="D4">
        <v>31.930555999999999</v>
      </c>
      <c r="E4">
        <v>-106.630556</v>
      </c>
      <c r="F4">
        <v>2013</v>
      </c>
      <c r="G4">
        <v>64.7</v>
      </c>
      <c r="H4">
        <v>58.4328</v>
      </c>
      <c r="I4">
        <v>52050</v>
      </c>
      <c r="J4">
        <v>0.90359999999999996</v>
      </c>
      <c r="K4">
        <v>76.8</v>
      </c>
      <c r="L4">
        <v>10</v>
      </c>
      <c r="N4" s="1">
        <v>350130008</v>
      </c>
      <c r="O4" s="1" t="s">
        <v>50</v>
      </c>
      <c r="P4" s="1" t="s">
        <v>51</v>
      </c>
      <c r="Q4" s="1"/>
      <c r="R4" s="1"/>
      <c r="S4" s="1">
        <v>2013</v>
      </c>
      <c r="T4" s="1">
        <f>U25/ROUND(H25,1)</f>
        <v>0.99828767123287665</v>
      </c>
      <c r="U4" s="95">
        <f t="shared" ref="U4:U20" si="0">T4*H4</f>
        <v>58.332743835616434</v>
      </c>
      <c r="V4" s="95">
        <f>T4*H25</f>
        <v>58.339132876712327</v>
      </c>
      <c r="W4" s="95">
        <f>V4-U4</f>
        <v>6.389041095893333E-3</v>
      </c>
    </row>
    <row r="5" spans="1:23" ht="14.45" x14ac:dyDescent="0.3">
      <c r="A5">
        <v>350130017</v>
      </c>
      <c r="B5" t="s">
        <v>50</v>
      </c>
      <c r="C5" t="s">
        <v>51</v>
      </c>
      <c r="D5">
        <v>31.795832999999998</v>
      </c>
      <c r="E5">
        <v>-106.5575</v>
      </c>
      <c r="F5">
        <v>2013</v>
      </c>
      <c r="G5">
        <v>66.7</v>
      </c>
      <c r="H5">
        <v>61.353299999999997</v>
      </c>
      <c r="I5">
        <v>54046</v>
      </c>
      <c r="J5">
        <v>0.92030000000000001</v>
      </c>
      <c r="K5">
        <v>73.7</v>
      </c>
      <c r="L5">
        <v>10</v>
      </c>
      <c r="N5" s="1">
        <v>350130017</v>
      </c>
      <c r="O5" s="1" t="s">
        <v>50</v>
      </c>
      <c r="P5" s="1" t="s">
        <v>51</v>
      </c>
      <c r="Q5" s="1"/>
      <c r="R5" s="1"/>
      <c r="S5" s="1">
        <v>2013</v>
      </c>
      <c r="T5" s="1">
        <f t="shared" ref="T5:T20" si="1">U26/ROUND(H26,1)</f>
        <v>1</v>
      </c>
      <c r="U5" s="95">
        <f t="shared" si="0"/>
        <v>61.353299999999997</v>
      </c>
      <c r="V5" s="95">
        <f t="shared" ref="V5:V20" si="2">T5*H26</f>
        <v>61.346600000000002</v>
      </c>
      <c r="W5" s="95">
        <f t="shared" ref="W5:W20" si="3">V5-U5</f>
        <v>-6.6999999999950433E-3</v>
      </c>
    </row>
    <row r="6" spans="1:23" ht="14.45" x14ac:dyDescent="0.3">
      <c r="A6">
        <v>350130019</v>
      </c>
      <c r="B6" t="s">
        <v>50</v>
      </c>
      <c r="C6" t="s">
        <v>51</v>
      </c>
      <c r="D6">
        <v>32.424722000000003</v>
      </c>
      <c r="E6">
        <v>-106.674167</v>
      </c>
      <c r="F6">
        <v>2013</v>
      </c>
      <c r="G6">
        <v>-7</v>
      </c>
      <c r="H6">
        <v>-9</v>
      </c>
      <c r="I6">
        <v>53064</v>
      </c>
      <c r="J6">
        <v>0.92510000000000003</v>
      </c>
      <c r="K6">
        <v>72.8</v>
      </c>
      <c r="L6">
        <v>10</v>
      </c>
      <c r="N6" s="1">
        <v>350130019</v>
      </c>
      <c r="O6" s="1" t="s">
        <v>50</v>
      </c>
      <c r="P6" s="1" t="s">
        <v>51</v>
      </c>
      <c r="Q6" s="1"/>
      <c r="R6" s="1"/>
      <c r="S6" s="1">
        <v>2013</v>
      </c>
      <c r="T6" s="1">
        <f t="shared" si="1"/>
        <v>1</v>
      </c>
      <c r="U6" s="1">
        <f t="shared" si="0"/>
        <v>-9</v>
      </c>
      <c r="V6" s="96">
        <v>-9</v>
      </c>
      <c r="W6" s="96">
        <v>-9</v>
      </c>
    </row>
    <row r="7" spans="1:23" ht="14.45" x14ac:dyDescent="0.3">
      <c r="A7">
        <v>350130020</v>
      </c>
      <c r="B7" t="s">
        <v>50</v>
      </c>
      <c r="C7" t="s">
        <v>51</v>
      </c>
      <c r="D7">
        <v>32.041111000000001</v>
      </c>
      <c r="E7">
        <v>-106.409167</v>
      </c>
      <c r="F7">
        <v>2013</v>
      </c>
      <c r="G7">
        <v>67.7</v>
      </c>
      <c r="H7">
        <v>61.353299999999997</v>
      </c>
      <c r="I7">
        <v>58053</v>
      </c>
      <c r="J7">
        <v>0.90669999999999995</v>
      </c>
      <c r="K7">
        <v>73.5</v>
      </c>
      <c r="L7">
        <v>10</v>
      </c>
      <c r="N7" s="1">
        <v>350130020</v>
      </c>
      <c r="O7" s="1" t="s">
        <v>50</v>
      </c>
      <c r="P7" s="1" t="s">
        <v>51</v>
      </c>
      <c r="Q7" s="1"/>
      <c r="R7" s="1"/>
      <c r="S7" s="1">
        <v>2013</v>
      </c>
      <c r="T7" s="1">
        <f t="shared" si="1"/>
        <v>0.99835796387520526</v>
      </c>
      <c r="U7" s="95">
        <f t="shared" si="0"/>
        <v>61.25255566502463</v>
      </c>
      <c r="V7" s="95">
        <f t="shared" si="2"/>
        <v>60.813477832512312</v>
      </c>
      <c r="W7" s="95">
        <f t="shared" si="3"/>
        <v>-0.43907783251231791</v>
      </c>
    </row>
    <row r="8" spans="1:23" ht="14.45" x14ac:dyDescent="0.3">
      <c r="A8">
        <v>350130021</v>
      </c>
      <c r="B8" t="s">
        <v>50</v>
      </c>
      <c r="C8" t="s">
        <v>51</v>
      </c>
      <c r="D8">
        <v>31.796111</v>
      </c>
      <c r="E8">
        <v>-106.583889</v>
      </c>
      <c r="F8">
        <v>2013</v>
      </c>
      <c r="G8">
        <v>71</v>
      </c>
      <c r="H8">
        <v>65.263199999999998</v>
      </c>
      <c r="I8">
        <v>53046</v>
      </c>
      <c r="J8">
        <v>0.91920000000000002</v>
      </c>
      <c r="K8">
        <v>74.5</v>
      </c>
      <c r="L8">
        <v>10</v>
      </c>
      <c r="N8" s="1">
        <v>350130021</v>
      </c>
      <c r="O8" s="1" t="s">
        <v>50</v>
      </c>
      <c r="P8" s="1" t="s">
        <v>51</v>
      </c>
      <c r="Q8" s="1"/>
      <c r="R8" s="1"/>
      <c r="S8" s="1">
        <v>2013</v>
      </c>
      <c r="T8" s="1">
        <f t="shared" si="1"/>
        <v>0.99693721286370596</v>
      </c>
      <c r="U8" s="95">
        <f t="shared" si="0"/>
        <v>65.063312710566606</v>
      </c>
      <c r="V8" s="95">
        <f t="shared" si="2"/>
        <v>65.056234456355284</v>
      </c>
      <c r="W8" s="95">
        <f t="shared" si="3"/>
        <v>-7.0782542113221325E-3</v>
      </c>
    </row>
    <row r="9" spans="1:23" ht="14.45" x14ac:dyDescent="0.3">
      <c r="A9">
        <v>350130022</v>
      </c>
      <c r="B9" t="s">
        <v>50</v>
      </c>
      <c r="C9" t="s">
        <v>51</v>
      </c>
      <c r="D9">
        <v>31.787777999999999</v>
      </c>
      <c r="E9">
        <v>-106.682778</v>
      </c>
      <c r="F9">
        <v>2013</v>
      </c>
      <c r="G9">
        <v>70.3</v>
      </c>
      <c r="H9">
        <v>63.932899999999997</v>
      </c>
      <c r="I9">
        <v>51046</v>
      </c>
      <c r="J9">
        <v>0.90900000000000003</v>
      </c>
      <c r="K9">
        <v>74.400000000000006</v>
      </c>
      <c r="L9">
        <v>10</v>
      </c>
      <c r="N9" s="1">
        <v>350130022</v>
      </c>
      <c r="O9" s="1" t="s">
        <v>50</v>
      </c>
      <c r="P9" s="1" t="s">
        <v>51</v>
      </c>
      <c r="Q9" s="1"/>
      <c r="R9" s="1"/>
      <c r="S9" s="1">
        <v>2013</v>
      </c>
      <c r="T9" s="1">
        <f t="shared" si="1"/>
        <v>0.99843505477308292</v>
      </c>
      <c r="U9" s="95">
        <f t="shared" si="0"/>
        <v>63.832848513302032</v>
      </c>
      <c r="V9" s="95">
        <f t="shared" si="2"/>
        <v>63.825859467918619</v>
      </c>
      <c r="W9" s="95">
        <f t="shared" si="3"/>
        <v>-6.9890453834133837E-3</v>
      </c>
    </row>
    <row r="10" spans="1:23" ht="14.45" x14ac:dyDescent="0.3">
      <c r="A10">
        <v>350130023</v>
      </c>
      <c r="B10" t="s">
        <v>50</v>
      </c>
      <c r="C10" t="s">
        <v>51</v>
      </c>
      <c r="D10">
        <v>32.317500000000003</v>
      </c>
      <c r="E10">
        <v>-106.76777800000001</v>
      </c>
      <c r="F10">
        <v>2013</v>
      </c>
      <c r="G10">
        <v>64.3</v>
      </c>
      <c r="H10">
        <v>59.192999999999998</v>
      </c>
      <c r="I10">
        <v>50061</v>
      </c>
      <c r="J10">
        <v>0.92010000000000003</v>
      </c>
      <c r="K10">
        <v>71.900000000000006</v>
      </c>
      <c r="L10">
        <v>10</v>
      </c>
      <c r="N10" s="1">
        <v>350130023</v>
      </c>
      <c r="O10" s="1" t="s">
        <v>50</v>
      </c>
      <c r="P10" s="1" t="s">
        <v>51</v>
      </c>
      <c r="Q10" s="1"/>
      <c r="R10" s="1"/>
      <c r="S10" s="1">
        <v>2013</v>
      </c>
      <c r="T10" s="1">
        <f t="shared" si="1"/>
        <v>0.98988195615514341</v>
      </c>
      <c r="U10" s="95">
        <f t="shared" si="0"/>
        <v>58.594082630691403</v>
      </c>
      <c r="V10" s="95">
        <f t="shared" si="2"/>
        <v>58.702375716694775</v>
      </c>
      <c r="W10" s="95">
        <f t="shared" si="3"/>
        <v>0.10829308600337129</v>
      </c>
    </row>
    <row r="11" spans="1:23" ht="14.45" x14ac:dyDescent="0.3">
      <c r="A11">
        <v>350131012</v>
      </c>
      <c r="B11" t="s">
        <v>50</v>
      </c>
      <c r="C11" t="s">
        <v>51</v>
      </c>
      <c r="D11">
        <v>32.281388999999997</v>
      </c>
      <c r="E11">
        <v>-106.767222</v>
      </c>
      <c r="F11">
        <v>2013</v>
      </c>
      <c r="G11">
        <v>-7</v>
      </c>
      <c r="H11">
        <v>-9</v>
      </c>
      <c r="I11">
        <v>50060</v>
      </c>
      <c r="J11">
        <v>0.92879999999999996</v>
      </c>
      <c r="K11">
        <v>71.8</v>
      </c>
      <c r="L11">
        <v>10</v>
      </c>
      <c r="N11" s="1">
        <v>350131012</v>
      </c>
      <c r="O11" s="1" t="s">
        <v>50</v>
      </c>
      <c r="P11" s="1" t="s">
        <v>51</v>
      </c>
      <c r="Q11" s="1"/>
      <c r="R11" s="1"/>
      <c r="S11" s="1">
        <v>2013</v>
      </c>
      <c r="T11" s="1">
        <f t="shared" si="1"/>
        <v>1</v>
      </c>
      <c r="U11" s="1">
        <f t="shared" si="0"/>
        <v>-9</v>
      </c>
      <c r="V11" s="96">
        <v>-9</v>
      </c>
      <c r="W11" s="96">
        <v>-9</v>
      </c>
    </row>
    <row r="12" spans="1:23" ht="14.45" x14ac:dyDescent="0.3">
      <c r="A12">
        <v>350151005</v>
      </c>
      <c r="B12" t="s">
        <v>50</v>
      </c>
      <c r="C12" t="s">
        <v>52</v>
      </c>
      <c r="D12">
        <v>32.380000000000003</v>
      </c>
      <c r="E12">
        <v>-104.26222199999999</v>
      </c>
      <c r="F12">
        <v>2013</v>
      </c>
      <c r="G12">
        <v>70</v>
      </c>
      <c r="H12">
        <v>67.256</v>
      </c>
      <c r="I12">
        <v>109057</v>
      </c>
      <c r="J12">
        <v>0.96079999999999999</v>
      </c>
      <c r="K12">
        <v>70.7</v>
      </c>
      <c r="L12">
        <v>10</v>
      </c>
      <c r="N12" s="1">
        <v>350151005</v>
      </c>
      <c r="O12" s="1" t="s">
        <v>50</v>
      </c>
      <c r="P12" s="1" t="s">
        <v>52</v>
      </c>
      <c r="Q12" s="1"/>
      <c r="R12" s="1"/>
      <c r="S12" s="1">
        <v>2013</v>
      </c>
      <c r="T12" s="1">
        <f t="shared" si="1"/>
        <v>1.0044444444444445</v>
      </c>
      <c r="U12" s="95">
        <f t="shared" si="0"/>
        <v>67.554915555555553</v>
      </c>
      <c r="V12" s="95">
        <f t="shared" si="2"/>
        <v>67.850121777777773</v>
      </c>
      <c r="W12" s="95">
        <f t="shared" si="3"/>
        <v>0.29520622222221959</v>
      </c>
    </row>
    <row r="13" spans="1:23" ht="14.45" x14ac:dyDescent="0.3">
      <c r="A13">
        <v>350171003</v>
      </c>
      <c r="B13" t="s">
        <v>50</v>
      </c>
      <c r="C13" t="s">
        <v>53</v>
      </c>
      <c r="D13">
        <v>32.691943999999999</v>
      </c>
      <c r="E13">
        <v>-108.124444</v>
      </c>
      <c r="F13">
        <v>2013</v>
      </c>
      <c r="G13">
        <v>65</v>
      </c>
      <c r="H13">
        <v>62.1205</v>
      </c>
      <c r="I13">
        <v>20075</v>
      </c>
      <c r="J13">
        <v>0.95569999999999999</v>
      </c>
      <c r="K13">
        <v>70.099999999999994</v>
      </c>
      <c r="L13">
        <v>7</v>
      </c>
      <c r="N13" s="1">
        <v>350171003</v>
      </c>
      <c r="O13" s="1" t="s">
        <v>50</v>
      </c>
      <c r="P13" s="1" t="s">
        <v>53</v>
      </c>
      <c r="Q13" s="1"/>
      <c r="R13" s="1"/>
      <c r="S13" s="1">
        <v>2013</v>
      </c>
      <c r="T13" s="1">
        <f t="shared" si="1"/>
        <v>0.99838969404186795</v>
      </c>
      <c r="U13" s="95">
        <f t="shared" si="0"/>
        <v>62.020466988727854</v>
      </c>
      <c r="V13" s="95">
        <f t="shared" si="2"/>
        <v>62.033346215781002</v>
      </c>
      <c r="W13" s="95">
        <f t="shared" si="3"/>
        <v>1.2879227053147702E-2</v>
      </c>
    </row>
    <row r="14" spans="1:23" ht="14.45" x14ac:dyDescent="0.3">
      <c r="A14">
        <v>350290003</v>
      </c>
      <c r="B14" t="s">
        <v>50</v>
      </c>
      <c r="C14" t="s">
        <v>54</v>
      </c>
      <c r="D14">
        <v>32.255800000000001</v>
      </c>
      <c r="E14">
        <v>-107.7227</v>
      </c>
      <c r="F14">
        <v>2013</v>
      </c>
      <c r="G14">
        <v>63</v>
      </c>
      <c r="H14">
        <v>58.791600000000003</v>
      </c>
      <c r="I14">
        <v>28062</v>
      </c>
      <c r="J14">
        <v>0.93320000000000003</v>
      </c>
      <c r="K14">
        <v>70.5</v>
      </c>
      <c r="L14">
        <v>10</v>
      </c>
      <c r="N14" s="1">
        <v>350290003</v>
      </c>
      <c r="O14" s="1" t="s">
        <v>50</v>
      </c>
      <c r="P14" s="1" t="s">
        <v>54</v>
      </c>
      <c r="Q14" s="1"/>
      <c r="R14" s="1"/>
      <c r="S14" s="1">
        <v>2013</v>
      </c>
      <c r="T14" s="1">
        <f t="shared" si="1"/>
        <v>0.99659863945578242</v>
      </c>
      <c r="U14" s="95">
        <f t="shared" si="0"/>
        <v>58.591628571428579</v>
      </c>
      <c r="V14" s="95">
        <f t="shared" si="2"/>
        <v>58.553857482993209</v>
      </c>
      <c r="W14" s="95">
        <f t="shared" si="3"/>
        <v>-3.7771088435370359E-2</v>
      </c>
    </row>
    <row r="15" spans="1:23" ht="14.45" x14ac:dyDescent="0.3">
      <c r="A15">
        <v>481410029</v>
      </c>
      <c r="B15" t="s">
        <v>55</v>
      </c>
      <c r="C15" t="s">
        <v>56</v>
      </c>
      <c r="D15">
        <v>31.785768999999998</v>
      </c>
      <c r="E15">
        <v>-106.323578</v>
      </c>
      <c r="F15">
        <v>2013</v>
      </c>
      <c r="G15">
        <v>65</v>
      </c>
      <c r="H15">
        <v>58.591000000000001</v>
      </c>
      <c r="I15">
        <v>59045</v>
      </c>
      <c r="J15">
        <v>0.90139999999999998</v>
      </c>
      <c r="K15">
        <v>72.900000000000006</v>
      </c>
      <c r="L15">
        <v>10</v>
      </c>
      <c r="N15" s="1">
        <v>481410029</v>
      </c>
      <c r="O15" s="1" t="s">
        <v>55</v>
      </c>
      <c r="P15" s="1" t="s">
        <v>56</v>
      </c>
      <c r="Q15" s="1"/>
      <c r="R15" s="1"/>
      <c r="S15" s="1">
        <v>2013</v>
      </c>
      <c r="T15" s="1">
        <f t="shared" si="1"/>
        <v>0.9965870307167235</v>
      </c>
      <c r="U15" s="95">
        <f t="shared" si="0"/>
        <v>58.391030716723549</v>
      </c>
      <c r="V15" s="95">
        <f t="shared" si="2"/>
        <v>58.397408873720131</v>
      </c>
      <c r="W15" s="95">
        <f t="shared" si="3"/>
        <v>6.3781569965826179E-3</v>
      </c>
    </row>
    <row r="16" spans="1:23" ht="14.45" x14ac:dyDescent="0.3">
      <c r="A16">
        <v>481410037</v>
      </c>
      <c r="B16" t="s">
        <v>55</v>
      </c>
      <c r="C16" t="s">
        <v>56</v>
      </c>
      <c r="D16">
        <v>31.768291000000001</v>
      </c>
      <c r="E16">
        <v>-106.50126</v>
      </c>
      <c r="F16">
        <v>2013</v>
      </c>
      <c r="G16">
        <v>71</v>
      </c>
      <c r="H16">
        <v>65.447800000000001</v>
      </c>
      <c r="I16">
        <v>55045</v>
      </c>
      <c r="J16">
        <v>0.92179999999999995</v>
      </c>
      <c r="K16">
        <v>72.7</v>
      </c>
      <c r="L16">
        <v>10</v>
      </c>
      <c r="N16" s="1">
        <v>481410037</v>
      </c>
      <c r="O16" s="1" t="s">
        <v>55</v>
      </c>
      <c r="P16" s="1" t="s">
        <v>56</v>
      </c>
      <c r="Q16" s="1"/>
      <c r="R16" s="1"/>
      <c r="S16" s="1">
        <v>2013</v>
      </c>
      <c r="T16" s="1">
        <f t="shared" si="1"/>
        <v>0.99846860643185309</v>
      </c>
      <c r="U16" s="95">
        <f t="shared" si="0"/>
        <v>65.347573660030633</v>
      </c>
      <c r="V16" s="95">
        <f t="shared" si="2"/>
        <v>65.184423889739676</v>
      </c>
      <c r="W16" s="95">
        <f t="shared" si="3"/>
        <v>-0.16314977029095701</v>
      </c>
    </row>
    <row r="17" spans="1:25" ht="14.45" x14ac:dyDescent="0.3">
      <c r="A17">
        <v>481410044</v>
      </c>
      <c r="B17" t="s">
        <v>55</v>
      </c>
      <c r="C17" t="s">
        <v>56</v>
      </c>
      <c r="D17">
        <v>31.765685000000001</v>
      </c>
      <c r="E17">
        <v>-106.45522699999999</v>
      </c>
      <c r="F17">
        <v>2013</v>
      </c>
      <c r="G17">
        <v>69</v>
      </c>
      <c r="H17">
        <v>62.727899999999998</v>
      </c>
      <c r="I17">
        <v>56045</v>
      </c>
      <c r="J17">
        <v>0.90910000000000002</v>
      </c>
      <c r="K17">
        <v>73.7</v>
      </c>
      <c r="L17">
        <v>10</v>
      </c>
      <c r="N17" s="1">
        <v>481410044</v>
      </c>
      <c r="O17" s="1" t="s">
        <v>55</v>
      </c>
      <c r="P17" s="1" t="s">
        <v>56</v>
      </c>
      <c r="Q17" s="1"/>
      <c r="R17" s="1"/>
      <c r="S17" s="1">
        <v>2013</v>
      </c>
      <c r="T17" s="1">
        <f t="shared" si="1"/>
        <v>0.99682034976152634</v>
      </c>
      <c r="U17" s="95">
        <f t="shared" si="0"/>
        <v>62.528447217806047</v>
      </c>
      <c r="V17" s="95">
        <f t="shared" si="2"/>
        <v>62.686642607313203</v>
      </c>
      <c r="W17" s="95">
        <f t="shared" si="3"/>
        <v>0.15819538950715639</v>
      </c>
    </row>
    <row r="18" spans="1:25" ht="14.45" x14ac:dyDescent="0.3">
      <c r="A18">
        <v>481410055</v>
      </c>
      <c r="B18" t="s">
        <v>55</v>
      </c>
      <c r="C18" t="s">
        <v>56</v>
      </c>
      <c r="D18">
        <v>31.746775</v>
      </c>
      <c r="E18">
        <v>-106.402806</v>
      </c>
      <c r="F18">
        <v>2013</v>
      </c>
      <c r="G18">
        <v>66</v>
      </c>
      <c r="H18">
        <v>59.9544</v>
      </c>
      <c r="I18">
        <v>57044</v>
      </c>
      <c r="J18">
        <v>0.90839999999999999</v>
      </c>
      <c r="K18">
        <v>73.8</v>
      </c>
      <c r="L18">
        <v>10</v>
      </c>
      <c r="N18" s="1">
        <v>481410055</v>
      </c>
      <c r="O18" s="1" t="s">
        <v>55</v>
      </c>
      <c r="P18" s="1" t="s">
        <v>56</v>
      </c>
      <c r="Q18" s="1"/>
      <c r="R18" s="1"/>
      <c r="S18" s="1">
        <v>2013</v>
      </c>
      <c r="T18" s="1">
        <f t="shared" si="1"/>
        <v>1.0016666666666667</v>
      </c>
      <c r="U18" s="95">
        <f t="shared" si="0"/>
        <v>60.054324000000001</v>
      </c>
      <c r="V18" s="95">
        <f t="shared" si="2"/>
        <v>60.060834833333338</v>
      </c>
      <c r="W18" s="95">
        <f t="shared" si="3"/>
        <v>6.5108333333370183E-3</v>
      </c>
    </row>
    <row r="19" spans="1:25" ht="14.45" x14ac:dyDescent="0.3">
      <c r="A19">
        <v>481410057</v>
      </c>
      <c r="B19" t="s">
        <v>55</v>
      </c>
      <c r="C19" t="s">
        <v>56</v>
      </c>
      <c r="D19">
        <v>31.6675</v>
      </c>
      <c r="E19">
        <v>-106.288</v>
      </c>
      <c r="F19">
        <v>2013</v>
      </c>
      <c r="G19">
        <v>66</v>
      </c>
      <c r="H19">
        <v>59.974200000000003</v>
      </c>
      <c r="I19">
        <v>60042</v>
      </c>
      <c r="J19">
        <v>0.90869999999999995</v>
      </c>
      <c r="K19">
        <v>72.599999999999994</v>
      </c>
      <c r="L19">
        <v>10</v>
      </c>
      <c r="N19" s="1">
        <v>481410057</v>
      </c>
      <c r="O19" s="1" t="s">
        <v>55</v>
      </c>
      <c r="P19" s="1" t="s">
        <v>56</v>
      </c>
      <c r="Q19" s="1"/>
      <c r="R19" s="1"/>
      <c r="S19" s="1">
        <v>2013</v>
      </c>
      <c r="T19" s="1">
        <f t="shared" si="1"/>
        <v>0.99666666666666659</v>
      </c>
      <c r="U19" s="95">
        <f t="shared" si="0"/>
        <v>59.774285999999996</v>
      </c>
      <c r="V19" s="95">
        <f t="shared" si="2"/>
        <v>59.774186333333326</v>
      </c>
      <c r="W19" s="95">
        <f t="shared" si="3"/>
        <v>-9.9666666670827908E-5</v>
      </c>
    </row>
    <row r="20" spans="1:25" ht="14.45" x14ac:dyDescent="0.3">
      <c r="A20">
        <v>481410058</v>
      </c>
      <c r="B20" t="s">
        <v>55</v>
      </c>
      <c r="C20" t="s">
        <v>56</v>
      </c>
      <c r="D20">
        <v>31.893913000000001</v>
      </c>
      <c r="E20">
        <v>-106.425827</v>
      </c>
      <c r="F20">
        <v>2013</v>
      </c>
      <c r="G20">
        <v>69.3</v>
      </c>
      <c r="H20">
        <v>62.302900000000001</v>
      </c>
      <c r="I20">
        <v>57048</v>
      </c>
      <c r="J20">
        <v>0.89859999999999995</v>
      </c>
      <c r="K20">
        <v>74.900000000000006</v>
      </c>
      <c r="L20">
        <v>10</v>
      </c>
      <c r="N20" s="1">
        <v>481410058</v>
      </c>
      <c r="O20" s="1" t="s">
        <v>55</v>
      </c>
      <c r="P20" s="1" t="s">
        <v>56</v>
      </c>
      <c r="Q20" s="1"/>
      <c r="R20" s="1"/>
      <c r="S20" s="1">
        <v>2013</v>
      </c>
      <c r="T20" s="1">
        <f t="shared" si="1"/>
        <v>0.99676898222940236</v>
      </c>
      <c r="U20" s="95">
        <f t="shared" si="0"/>
        <v>62.101598222940233</v>
      </c>
      <c r="V20" s="95">
        <f t="shared" si="2"/>
        <v>61.721430533117939</v>
      </c>
      <c r="W20" s="95">
        <f t="shared" si="3"/>
        <v>-0.38016768982229365</v>
      </c>
    </row>
    <row r="22" spans="1:25" ht="21" x14ac:dyDescent="0.4">
      <c r="A22" s="94"/>
    </row>
    <row r="23" spans="1:25" ht="21" x14ac:dyDescent="0.4">
      <c r="A23" s="94" t="s">
        <v>262</v>
      </c>
      <c r="N23" s="94" t="s">
        <v>263</v>
      </c>
    </row>
    <row r="24" spans="1:25" ht="14.45" x14ac:dyDescent="0.3">
      <c r="A24" s="68" t="s">
        <v>73</v>
      </c>
      <c r="B24" s="68" t="s">
        <v>60</v>
      </c>
      <c r="C24" s="68" t="s">
        <v>218</v>
      </c>
      <c r="D24" s="68" t="s">
        <v>58</v>
      </c>
      <c r="E24" s="68" t="s">
        <v>59</v>
      </c>
      <c r="F24" s="68" t="s">
        <v>253</v>
      </c>
      <c r="G24" s="68" t="s">
        <v>215</v>
      </c>
      <c r="H24" s="68" t="s">
        <v>228</v>
      </c>
      <c r="I24" s="68" t="s">
        <v>254</v>
      </c>
      <c r="J24" s="68" t="s">
        <v>255</v>
      </c>
      <c r="K24" s="68" t="s">
        <v>256</v>
      </c>
      <c r="L24" s="68" t="s">
        <v>257</v>
      </c>
      <c r="N24" s="68" t="s">
        <v>73</v>
      </c>
      <c r="O24" s="68" t="s">
        <v>60</v>
      </c>
      <c r="P24" s="68" t="s">
        <v>218</v>
      </c>
      <c r="Q24" s="68" t="s">
        <v>58</v>
      </c>
      <c r="R24" s="68" t="s">
        <v>59</v>
      </c>
      <c r="S24" s="68" t="s">
        <v>253</v>
      </c>
      <c r="T24" s="68" t="s">
        <v>215</v>
      </c>
      <c r="U24" s="68" t="s">
        <v>228</v>
      </c>
      <c r="V24" s="68" t="s">
        <v>254</v>
      </c>
      <c r="W24" s="68" t="s">
        <v>255</v>
      </c>
      <c r="X24" s="68" t="s">
        <v>256</v>
      </c>
      <c r="Y24" s="68" t="s">
        <v>257</v>
      </c>
    </row>
    <row r="25" spans="1:25" ht="14.45" x14ac:dyDescent="0.3">
      <c r="A25" s="1">
        <v>350130008</v>
      </c>
      <c r="B25" s="1" t="s">
        <v>50</v>
      </c>
      <c r="C25" s="1" t="s">
        <v>51</v>
      </c>
      <c r="D25" s="1">
        <v>31.930555999999999</v>
      </c>
      <c r="E25" s="1">
        <v>-106.630556</v>
      </c>
      <c r="F25" s="1">
        <v>2013</v>
      </c>
      <c r="G25" s="1">
        <v>64.7</v>
      </c>
      <c r="H25" s="1">
        <v>58.4392</v>
      </c>
      <c r="I25" s="1">
        <v>52050</v>
      </c>
      <c r="J25" s="1">
        <v>0.90369999999999995</v>
      </c>
      <c r="K25" s="1">
        <v>76.8</v>
      </c>
      <c r="L25" s="1">
        <v>10</v>
      </c>
      <c r="N25" s="1">
        <v>350130008</v>
      </c>
      <c r="O25" s="1" t="s">
        <v>50</v>
      </c>
      <c r="P25" s="1" t="s">
        <v>51</v>
      </c>
      <c r="Q25" s="1"/>
      <c r="R25" s="1"/>
      <c r="S25" s="1">
        <v>2013</v>
      </c>
      <c r="T25" s="1">
        <v>64.7</v>
      </c>
      <c r="U25" s="1">
        <v>58.3</v>
      </c>
      <c r="V25" s="1">
        <v>52050</v>
      </c>
      <c r="W25" s="1">
        <v>0.90259999999999996</v>
      </c>
      <c r="X25" s="1">
        <v>76.8</v>
      </c>
      <c r="Y25" s="1">
        <v>10</v>
      </c>
    </row>
    <row r="26" spans="1:25" ht="14.45" x14ac:dyDescent="0.3">
      <c r="A26" s="1">
        <v>350130017</v>
      </c>
      <c r="B26" s="1" t="s">
        <v>50</v>
      </c>
      <c r="C26" s="1" t="s">
        <v>51</v>
      </c>
      <c r="D26" s="1">
        <v>31.795832999999998</v>
      </c>
      <c r="E26" s="1">
        <v>-106.5575</v>
      </c>
      <c r="F26" s="1">
        <v>2013</v>
      </c>
      <c r="G26" s="1">
        <v>66.7</v>
      </c>
      <c r="H26" s="1">
        <v>61.346600000000002</v>
      </c>
      <c r="I26" s="1">
        <v>54046</v>
      </c>
      <c r="J26" s="1">
        <v>0.92020000000000002</v>
      </c>
      <c r="K26" s="1">
        <v>73.7</v>
      </c>
      <c r="L26" s="1">
        <v>10</v>
      </c>
      <c r="N26" s="1">
        <v>350130017</v>
      </c>
      <c r="O26" s="1" t="s">
        <v>50</v>
      </c>
      <c r="P26" s="1" t="s">
        <v>51</v>
      </c>
      <c r="Q26" s="1"/>
      <c r="R26" s="1"/>
      <c r="S26" s="1">
        <v>2013</v>
      </c>
      <c r="T26" s="1">
        <v>66.7</v>
      </c>
      <c r="U26" s="1">
        <v>61.3</v>
      </c>
      <c r="V26" s="1">
        <v>54046</v>
      </c>
      <c r="W26" s="1">
        <v>0.91949999999999998</v>
      </c>
      <c r="X26" s="1">
        <v>73.7</v>
      </c>
      <c r="Y26" s="1">
        <v>10</v>
      </c>
    </row>
    <row r="27" spans="1:25" ht="14.45" x14ac:dyDescent="0.3">
      <c r="A27" s="1">
        <v>350130019</v>
      </c>
      <c r="B27" s="1" t="s">
        <v>50</v>
      </c>
      <c r="C27" s="1" t="s">
        <v>51</v>
      </c>
      <c r="D27" s="1">
        <v>32.424722000000003</v>
      </c>
      <c r="E27" s="1">
        <v>-106.674167</v>
      </c>
      <c r="F27" s="1">
        <v>2013</v>
      </c>
      <c r="G27" s="1">
        <v>-7</v>
      </c>
      <c r="H27" s="1">
        <v>-9</v>
      </c>
      <c r="I27" s="1">
        <v>53064</v>
      </c>
      <c r="J27" s="1">
        <v>0.92520000000000002</v>
      </c>
      <c r="K27" s="1">
        <v>72.8</v>
      </c>
      <c r="L27" s="1">
        <v>10</v>
      </c>
      <c r="N27" s="1">
        <v>350130019</v>
      </c>
      <c r="O27" s="1" t="s">
        <v>50</v>
      </c>
      <c r="P27" s="1" t="s">
        <v>51</v>
      </c>
      <c r="Q27" s="1"/>
      <c r="R27" s="1"/>
      <c r="S27" s="1">
        <v>2013</v>
      </c>
      <c r="T27" s="1">
        <v>-7</v>
      </c>
      <c r="U27" s="1">
        <v>-9</v>
      </c>
      <c r="V27" s="1">
        <v>53064</v>
      </c>
      <c r="W27" s="1">
        <v>0.92390000000000005</v>
      </c>
      <c r="X27" s="1">
        <v>72.8</v>
      </c>
      <c r="Y27" s="1">
        <v>10</v>
      </c>
    </row>
    <row r="28" spans="1:25" ht="14.45" x14ac:dyDescent="0.3">
      <c r="A28" s="1">
        <v>350130020</v>
      </c>
      <c r="B28" s="1" t="s">
        <v>50</v>
      </c>
      <c r="C28" s="1" t="s">
        <v>51</v>
      </c>
      <c r="D28" s="1">
        <v>32.041111000000001</v>
      </c>
      <c r="E28" s="1">
        <v>-106.409167</v>
      </c>
      <c r="F28" s="1">
        <v>2013</v>
      </c>
      <c r="G28" s="1">
        <v>67.7</v>
      </c>
      <c r="H28" s="1">
        <v>60.913499999999999</v>
      </c>
      <c r="I28" s="1">
        <v>58053</v>
      </c>
      <c r="J28" s="1">
        <v>0.9002</v>
      </c>
      <c r="K28" s="1">
        <v>73.900000000000006</v>
      </c>
      <c r="L28" s="1">
        <v>10</v>
      </c>
      <c r="N28" s="1">
        <v>350130020</v>
      </c>
      <c r="O28" s="1" t="s">
        <v>50</v>
      </c>
      <c r="P28" s="1" t="s">
        <v>51</v>
      </c>
      <c r="Q28" s="1"/>
      <c r="R28" s="1"/>
      <c r="S28" s="1">
        <v>2013</v>
      </c>
      <c r="T28" s="1">
        <v>67.7</v>
      </c>
      <c r="U28" s="1">
        <v>60.8</v>
      </c>
      <c r="V28" s="1">
        <v>58053</v>
      </c>
      <c r="W28" s="1">
        <v>0.89849999999999997</v>
      </c>
      <c r="X28" s="1">
        <v>73.900000000000006</v>
      </c>
      <c r="Y28" s="1">
        <v>10</v>
      </c>
    </row>
    <row r="29" spans="1:25" ht="14.45" x14ac:dyDescent="0.3">
      <c r="A29" s="1">
        <v>350130021</v>
      </c>
      <c r="B29" s="1" t="s">
        <v>50</v>
      </c>
      <c r="C29" s="1" t="s">
        <v>51</v>
      </c>
      <c r="D29" s="1">
        <v>31.796111</v>
      </c>
      <c r="E29" s="1">
        <v>-106.583889</v>
      </c>
      <c r="F29" s="1">
        <v>2013</v>
      </c>
      <c r="G29" s="1">
        <v>71</v>
      </c>
      <c r="H29" s="1">
        <v>65.256100000000004</v>
      </c>
      <c r="I29" s="1">
        <v>53046</v>
      </c>
      <c r="J29" s="1">
        <v>0.91910000000000003</v>
      </c>
      <c r="K29" s="1">
        <v>74.599999999999994</v>
      </c>
      <c r="L29" s="1">
        <v>10</v>
      </c>
      <c r="N29" s="1">
        <v>350130021</v>
      </c>
      <c r="O29" s="1" t="s">
        <v>50</v>
      </c>
      <c r="P29" s="1" t="s">
        <v>51</v>
      </c>
      <c r="Q29" s="1"/>
      <c r="R29" s="1"/>
      <c r="S29" s="1">
        <v>2013</v>
      </c>
      <c r="T29" s="1">
        <v>71</v>
      </c>
      <c r="U29" s="1">
        <v>65.099999999999994</v>
      </c>
      <c r="V29" s="1">
        <v>53046</v>
      </c>
      <c r="W29" s="1">
        <v>0.91830000000000001</v>
      </c>
      <c r="X29" s="1">
        <v>74.599999999999994</v>
      </c>
      <c r="Y29" s="1">
        <v>10</v>
      </c>
    </row>
    <row r="30" spans="1:25" ht="14.45" x14ac:dyDescent="0.3">
      <c r="A30" s="1">
        <v>350130022</v>
      </c>
      <c r="B30" s="1" t="s">
        <v>50</v>
      </c>
      <c r="C30" s="1" t="s">
        <v>51</v>
      </c>
      <c r="D30" s="1">
        <v>31.787777999999999</v>
      </c>
      <c r="E30" s="1">
        <v>-106.682778</v>
      </c>
      <c r="F30" s="1">
        <v>2013</v>
      </c>
      <c r="G30" s="1">
        <v>70.3</v>
      </c>
      <c r="H30" s="1">
        <v>63.925899999999999</v>
      </c>
      <c r="I30" s="1">
        <v>51046</v>
      </c>
      <c r="J30" s="1">
        <v>0.90890000000000004</v>
      </c>
      <c r="K30" s="1">
        <v>74.5</v>
      </c>
      <c r="L30" s="1">
        <v>10</v>
      </c>
      <c r="N30" s="1">
        <v>350130022</v>
      </c>
      <c r="O30" s="1" t="s">
        <v>50</v>
      </c>
      <c r="P30" s="1" t="s">
        <v>51</v>
      </c>
      <c r="Q30" s="1"/>
      <c r="R30" s="1"/>
      <c r="S30" s="1">
        <v>2013</v>
      </c>
      <c r="T30" s="1">
        <v>70.3</v>
      </c>
      <c r="U30" s="1">
        <v>63.8</v>
      </c>
      <c r="V30" s="1">
        <v>51046</v>
      </c>
      <c r="W30" s="1">
        <v>0.90859999999999996</v>
      </c>
      <c r="X30" s="1">
        <v>74.5</v>
      </c>
      <c r="Y30" s="1">
        <v>10</v>
      </c>
    </row>
    <row r="31" spans="1:25" ht="14.45" x14ac:dyDescent="0.3">
      <c r="A31" s="1">
        <v>350130023</v>
      </c>
      <c r="B31" s="1" t="s">
        <v>50</v>
      </c>
      <c r="C31" s="1" t="s">
        <v>51</v>
      </c>
      <c r="D31" s="1">
        <v>32.317500000000003</v>
      </c>
      <c r="E31" s="1">
        <v>-106.76777800000001</v>
      </c>
      <c r="F31" s="1">
        <v>2013</v>
      </c>
      <c r="G31" s="1">
        <v>64.3</v>
      </c>
      <c r="H31" s="1">
        <v>59.302399999999999</v>
      </c>
      <c r="I31" s="1">
        <v>50061</v>
      </c>
      <c r="J31" s="1">
        <v>0.92179999999999995</v>
      </c>
      <c r="K31" s="1">
        <v>72.099999999999994</v>
      </c>
      <c r="L31" s="1">
        <v>10</v>
      </c>
      <c r="N31" s="1">
        <v>350130023</v>
      </c>
      <c r="O31" s="1" t="s">
        <v>50</v>
      </c>
      <c r="P31" s="1" t="s">
        <v>51</v>
      </c>
      <c r="Q31" s="1"/>
      <c r="R31" s="1"/>
      <c r="S31" s="1">
        <v>2013</v>
      </c>
      <c r="T31" s="1">
        <v>64.3</v>
      </c>
      <c r="U31" s="1">
        <v>58.7</v>
      </c>
      <c r="V31" s="1">
        <v>50061</v>
      </c>
      <c r="W31" s="1">
        <v>0.91359999999999997</v>
      </c>
      <c r="X31" s="1">
        <v>72.5</v>
      </c>
      <c r="Y31" s="1">
        <v>10</v>
      </c>
    </row>
    <row r="32" spans="1:25" ht="14.45" x14ac:dyDescent="0.3">
      <c r="A32" s="1">
        <v>350131012</v>
      </c>
      <c r="B32" s="1" t="s">
        <v>50</v>
      </c>
      <c r="C32" s="1" t="s">
        <v>51</v>
      </c>
      <c r="D32" s="1">
        <v>32.281388999999997</v>
      </c>
      <c r="E32" s="1">
        <v>-106.767222</v>
      </c>
      <c r="F32" s="1">
        <v>2013</v>
      </c>
      <c r="G32" s="1">
        <v>-7</v>
      </c>
      <c r="H32" s="1">
        <v>-9</v>
      </c>
      <c r="I32" s="1">
        <v>50060</v>
      </c>
      <c r="J32" s="1">
        <v>0.93140000000000001</v>
      </c>
      <c r="K32" s="1">
        <v>72.2</v>
      </c>
      <c r="L32" s="1">
        <v>10</v>
      </c>
      <c r="N32" s="1">
        <v>350131012</v>
      </c>
      <c r="O32" s="1" t="s">
        <v>50</v>
      </c>
      <c r="P32" s="1" t="s">
        <v>51</v>
      </c>
      <c r="Q32" s="1"/>
      <c r="R32" s="1"/>
      <c r="S32" s="1">
        <v>2013</v>
      </c>
      <c r="T32" s="1">
        <v>-7</v>
      </c>
      <c r="U32" s="1">
        <v>-9</v>
      </c>
      <c r="V32" s="1">
        <v>50060</v>
      </c>
      <c r="W32" s="1">
        <v>0.91979999999999995</v>
      </c>
      <c r="X32" s="1">
        <v>72.3</v>
      </c>
      <c r="Y32" s="1">
        <v>10</v>
      </c>
    </row>
    <row r="33" spans="1:25" ht="14.45" x14ac:dyDescent="0.3">
      <c r="A33" s="1">
        <v>350151005</v>
      </c>
      <c r="B33" s="1" t="s">
        <v>50</v>
      </c>
      <c r="C33" s="1" t="s">
        <v>52</v>
      </c>
      <c r="D33" s="1">
        <v>32.380000000000003</v>
      </c>
      <c r="E33" s="1">
        <v>-104.26222199999999</v>
      </c>
      <c r="F33" s="1">
        <v>2013</v>
      </c>
      <c r="G33" s="1">
        <v>70</v>
      </c>
      <c r="H33" s="1">
        <v>67.549899999999994</v>
      </c>
      <c r="I33" s="1">
        <v>109057</v>
      </c>
      <c r="J33" s="1">
        <v>0.96499999999999997</v>
      </c>
      <c r="K33" s="1">
        <v>71.099999999999994</v>
      </c>
      <c r="L33" s="1">
        <v>10</v>
      </c>
      <c r="N33" s="1">
        <v>350151005</v>
      </c>
      <c r="O33" s="1" t="s">
        <v>50</v>
      </c>
      <c r="P33" s="1" t="s">
        <v>52</v>
      </c>
      <c r="Q33" s="1"/>
      <c r="R33" s="1"/>
      <c r="S33" s="1">
        <v>2013</v>
      </c>
      <c r="T33" s="1">
        <v>70.3</v>
      </c>
      <c r="U33" s="1">
        <v>67.8</v>
      </c>
      <c r="V33" s="1">
        <v>109057</v>
      </c>
      <c r="W33" s="1">
        <v>0.96460000000000001</v>
      </c>
      <c r="X33" s="1">
        <v>71.099999999999994</v>
      </c>
      <c r="Y33" s="1">
        <v>10</v>
      </c>
    </row>
    <row r="34" spans="1:25" ht="14.45" x14ac:dyDescent="0.3">
      <c r="A34" s="1">
        <v>350171003</v>
      </c>
      <c r="B34" s="1" t="s">
        <v>50</v>
      </c>
      <c r="C34" s="1" t="s">
        <v>53</v>
      </c>
      <c r="D34" s="1">
        <v>32.691943999999999</v>
      </c>
      <c r="E34" s="1">
        <v>-108.124444</v>
      </c>
      <c r="F34" s="1">
        <v>2013</v>
      </c>
      <c r="G34" s="1">
        <v>65</v>
      </c>
      <c r="H34" s="1">
        <v>62.133400000000002</v>
      </c>
      <c r="I34" s="1">
        <v>20075</v>
      </c>
      <c r="J34" s="1">
        <v>0.95589999999999997</v>
      </c>
      <c r="K34" s="1">
        <v>70.3</v>
      </c>
      <c r="L34" s="1">
        <v>8</v>
      </c>
      <c r="N34" s="1">
        <v>350171003</v>
      </c>
      <c r="O34" s="1" t="s">
        <v>50</v>
      </c>
      <c r="P34" s="1" t="s">
        <v>53</v>
      </c>
      <c r="Q34" s="1"/>
      <c r="R34" s="1"/>
      <c r="S34" s="1">
        <v>2013</v>
      </c>
      <c r="T34" s="1">
        <v>65</v>
      </c>
      <c r="U34" s="1">
        <v>62</v>
      </c>
      <c r="V34" s="1">
        <v>20075</v>
      </c>
      <c r="W34" s="1">
        <v>0.95499999999999996</v>
      </c>
      <c r="X34" s="1">
        <v>69</v>
      </c>
      <c r="Y34" s="1">
        <v>10</v>
      </c>
    </row>
    <row r="35" spans="1:25" x14ac:dyDescent="0.25">
      <c r="A35" s="1">
        <v>350290003</v>
      </c>
      <c r="B35" s="1" t="s">
        <v>50</v>
      </c>
      <c r="C35" s="1" t="s">
        <v>54</v>
      </c>
      <c r="D35" s="1">
        <v>32.255800000000001</v>
      </c>
      <c r="E35" s="1">
        <v>-107.7227</v>
      </c>
      <c r="F35" s="1">
        <v>2013</v>
      </c>
      <c r="G35" s="1">
        <v>63</v>
      </c>
      <c r="H35" s="1">
        <v>58.753700000000002</v>
      </c>
      <c r="I35" s="1">
        <v>28062</v>
      </c>
      <c r="J35" s="1">
        <v>0.93259999999999998</v>
      </c>
      <c r="K35" s="1">
        <v>70.599999999999994</v>
      </c>
      <c r="L35" s="1">
        <v>10</v>
      </c>
      <c r="N35" s="1">
        <v>350290003</v>
      </c>
      <c r="O35" s="1" t="s">
        <v>50</v>
      </c>
      <c r="P35" s="1" t="s">
        <v>54</v>
      </c>
      <c r="Q35" s="1"/>
      <c r="R35" s="1"/>
      <c r="S35" s="1">
        <v>2013</v>
      </c>
      <c r="T35" s="1">
        <v>63</v>
      </c>
      <c r="U35" s="1">
        <v>58.6</v>
      </c>
      <c r="V35" s="1">
        <v>28062</v>
      </c>
      <c r="W35" s="1">
        <v>0.93110000000000004</v>
      </c>
      <c r="X35" s="1">
        <v>70.599999999999994</v>
      </c>
      <c r="Y35" s="1">
        <v>10</v>
      </c>
    </row>
    <row r="36" spans="1:25" x14ac:dyDescent="0.25">
      <c r="A36" s="1">
        <v>481410029</v>
      </c>
      <c r="B36" s="1" t="s">
        <v>55</v>
      </c>
      <c r="C36" s="1" t="s">
        <v>56</v>
      </c>
      <c r="D36" s="1">
        <v>31.785768999999998</v>
      </c>
      <c r="E36" s="1">
        <v>-106.323578</v>
      </c>
      <c r="F36" s="1">
        <v>2013</v>
      </c>
      <c r="G36" s="1">
        <v>65</v>
      </c>
      <c r="H36" s="1">
        <v>58.5974</v>
      </c>
      <c r="I36" s="1">
        <v>59045</v>
      </c>
      <c r="J36" s="1">
        <v>0.90149999999999997</v>
      </c>
      <c r="K36" s="1">
        <v>72.900000000000006</v>
      </c>
      <c r="L36" s="1">
        <v>10</v>
      </c>
      <c r="N36" s="1">
        <v>481410029</v>
      </c>
      <c r="O36" s="1" t="s">
        <v>55</v>
      </c>
      <c r="P36" s="1" t="s">
        <v>56</v>
      </c>
      <c r="Q36" s="1"/>
      <c r="R36" s="1"/>
      <c r="S36" s="1">
        <v>2013</v>
      </c>
      <c r="T36" s="1">
        <v>65</v>
      </c>
      <c r="U36" s="1">
        <v>58.4</v>
      </c>
      <c r="V36" s="1">
        <v>59045</v>
      </c>
      <c r="W36" s="1">
        <v>0.89959999999999996</v>
      </c>
      <c r="X36" s="1">
        <v>72.900000000000006</v>
      </c>
      <c r="Y36" s="1">
        <v>10</v>
      </c>
    </row>
    <row r="37" spans="1:25" x14ac:dyDescent="0.25">
      <c r="A37" s="1">
        <v>481410037</v>
      </c>
      <c r="B37" s="1" t="s">
        <v>55</v>
      </c>
      <c r="C37" s="1" t="s">
        <v>56</v>
      </c>
      <c r="D37" s="1">
        <v>31.768291000000001</v>
      </c>
      <c r="E37" s="1">
        <v>-106.50126</v>
      </c>
      <c r="F37" s="1">
        <v>2013</v>
      </c>
      <c r="G37" s="1">
        <v>71</v>
      </c>
      <c r="H37" s="1">
        <v>65.284400000000005</v>
      </c>
      <c r="I37" s="1">
        <v>55045</v>
      </c>
      <c r="J37" s="1">
        <v>0.91949999999999998</v>
      </c>
      <c r="K37" s="1">
        <v>73</v>
      </c>
      <c r="L37" s="1">
        <v>10</v>
      </c>
      <c r="N37" s="1">
        <v>481410037</v>
      </c>
      <c r="O37" s="1" t="s">
        <v>55</v>
      </c>
      <c r="P37" s="1" t="s">
        <v>56</v>
      </c>
      <c r="Q37" s="1"/>
      <c r="R37" s="1"/>
      <c r="S37" s="1">
        <v>2013</v>
      </c>
      <c r="T37" s="1">
        <v>71</v>
      </c>
      <c r="U37" s="1">
        <v>65.2</v>
      </c>
      <c r="V37" s="1">
        <v>55045</v>
      </c>
      <c r="W37" s="1">
        <v>0.91859999999999997</v>
      </c>
      <c r="X37" s="1">
        <v>73</v>
      </c>
      <c r="Y37" s="1">
        <v>10</v>
      </c>
    </row>
    <row r="38" spans="1:25" x14ac:dyDescent="0.25">
      <c r="A38" s="1">
        <v>481410044</v>
      </c>
      <c r="B38" s="1" t="s">
        <v>55</v>
      </c>
      <c r="C38" s="1" t="s">
        <v>56</v>
      </c>
      <c r="D38" s="1">
        <v>31.765685000000001</v>
      </c>
      <c r="E38" s="1">
        <v>-106.45522699999999</v>
      </c>
      <c r="F38" s="1">
        <v>2013</v>
      </c>
      <c r="G38" s="1">
        <v>69</v>
      </c>
      <c r="H38" s="1">
        <v>62.886600000000001</v>
      </c>
      <c r="I38" s="1">
        <v>56045</v>
      </c>
      <c r="J38" s="1">
        <v>0.91139999999999999</v>
      </c>
      <c r="K38" s="1">
        <v>73.7</v>
      </c>
      <c r="L38" s="1">
        <v>10</v>
      </c>
      <c r="N38" s="1">
        <v>481410044</v>
      </c>
      <c r="O38" s="1" t="s">
        <v>55</v>
      </c>
      <c r="P38" s="1" t="s">
        <v>56</v>
      </c>
      <c r="Q38" s="1"/>
      <c r="R38" s="1"/>
      <c r="S38" s="1">
        <v>2013</v>
      </c>
      <c r="T38" s="1">
        <v>69</v>
      </c>
      <c r="U38" s="1">
        <v>62.7</v>
      </c>
      <c r="V38" s="1">
        <v>56045</v>
      </c>
      <c r="W38" s="1">
        <v>0.90980000000000005</v>
      </c>
      <c r="X38" s="1">
        <v>73.7</v>
      </c>
      <c r="Y38" s="1">
        <v>10</v>
      </c>
    </row>
    <row r="39" spans="1:25" x14ac:dyDescent="0.25">
      <c r="A39" s="1">
        <v>481410055</v>
      </c>
      <c r="B39" s="1" t="s">
        <v>55</v>
      </c>
      <c r="C39" s="1" t="s">
        <v>56</v>
      </c>
      <c r="D39" s="1">
        <v>31.746775</v>
      </c>
      <c r="E39" s="1">
        <v>-106.402806</v>
      </c>
      <c r="F39" s="1">
        <v>2013</v>
      </c>
      <c r="G39" s="1">
        <v>66</v>
      </c>
      <c r="H39" s="1">
        <v>59.960900000000002</v>
      </c>
      <c r="I39" s="1">
        <v>57044</v>
      </c>
      <c r="J39" s="1">
        <v>0.90849999999999997</v>
      </c>
      <c r="K39" s="1">
        <v>73.900000000000006</v>
      </c>
      <c r="L39" s="1">
        <v>10</v>
      </c>
      <c r="N39" s="1">
        <v>481410055</v>
      </c>
      <c r="O39" s="1" t="s">
        <v>55</v>
      </c>
      <c r="P39" s="1" t="s">
        <v>56</v>
      </c>
      <c r="Q39" s="1"/>
      <c r="R39" s="1"/>
      <c r="S39" s="1">
        <v>2013</v>
      </c>
      <c r="T39" s="1">
        <v>66.3</v>
      </c>
      <c r="U39" s="1">
        <v>60.1</v>
      </c>
      <c r="V39" s="1">
        <v>57044</v>
      </c>
      <c r="W39" s="1">
        <v>0.90690000000000004</v>
      </c>
      <c r="X39" s="1">
        <v>73.900000000000006</v>
      </c>
      <c r="Y39" s="1">
        <v>10</v>
      </c>
    </row>
    <row r="40" spans="1:25" x14ac:dyDescent="0.25">
      <c r="A40" s="1">
        <v>481410057</v>
      </c>
      <c r="B40" s="1" t="s">
        <v>55</v>
      </c>
      <c r="C40" s="1" t="s">
        <v>56</v>
      </c>
      <c r="D40" s="1">
        <v>31.6675</v>
      </c>
      <c r="E40" s="1">
        <v>-106.288</v>
      </c>
      <c r="F40" s="1">
        <v>2013</v>
      </c>
      <c r="G40" s="1">
        <v>66</v>
      </c>
      <c r="H40" s="1">
        <v>59.9741</v>
      </c>
      <c r="I40" s="1">
        <v>60042</v>
      </c>
      <c r="J40" s="1">
        <v>0.90869999999999995</v>
      </c>
      <c r="K40" s="1">
        <v>72.7</v>
      </c>
      <c r="L40" s="1">
        <v>10</v>
      </c>
      <c r="N40" s="1">
        <v>481410057</v>
      </c>
      <c r="O40" s="1" t="s">
        <v>55</v>
      </c>
      <c r="P40" s="1" t="s">
        <v>56</v>
      </c>
      <c r="Q40" s="1"/>
      <c r="R40" s="1"/>
      <c r="S40" s="1">
        <v>2013</v>
      </c>
      <c r="T40" s="1">
        <v>66</v>
      </c>
      <c r="U40" s="1">
        <v>59.8</v>
      </c>
      <c r="V40" s="1">
        <v>60042</v>
      </c>
      <c r="W40" s="1">
        <v>0.90710000000000002</v>
      </c>
      <c r="X40" s="1">
        <v>72.7</v>
      </c>
      <c r="Y40" s="1">
        <v>10</v>
      </c>
    </row>
    <row r="41" spans="1:25" x14ac:dyDescent="0.25">
      <c r="A41" s="1">
        <v>481410058</v>
      </c>
      <c r="B41" s="1" t="s">
        <v>55</v>
      </c>
      <c r="C41" s="1" t="s">
        <v>56</v>
      </c>
      <c r="D41" s="1">
        <v>31.893913000000001</v>
      </c>
      <c r="E41" s="1">
        <v>-106.425827</v>
      </c>
      <c r="F41" s="1">
        <v>2013</v>
      </c>
      <c r="G41" s="1">
        <v>69.3</v>
      </c>
      <c r="H41" s="1">
        <v>61.921500000000002</v>
      </c>
      <c r="I41" s="1">
        <v>57048</v>
      </c>
      <c r="J41" s="1">
        <v>0.8931</v>
      </c>
      <c r="K41" s="1">
        <v>75</v>
      </c>
      <c r="L41" s="1">
        <v>10</v>
      </c>
      <c r="N41" s="1">
        <v>481410058</v>
      </c>
      <c r="O41" s="1" t="s">
        <v>55</v>
      </c>
      <c r="P41" s="1" t="s">
        <v>56</v>
      </c>
      <c r="Q41" s="1"/>
      <c r="R41" s="1"/>
      <c r="S41" s="1">
        <v>2013</v>
      </c>
      <c r="T41" s="1">
        <v>69.3</v>
      </c>
      <c r="U41" s="1">
        <v>61.7</v>
      </c>
      <c r="V41" s="1">
        <v>57048</v>
      </c>
      <c r="W41" s="1">
        <v>0.89170000000000005</v>
      </c>
      <c r="X41" s="1">
        <v>75</v>
      </c>
      <c r="Y41" s="1">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plots</vt:lpstr>
      <vt:lpstr>raw_data</vt:lpstr>
      <vt:lpstr>lookup</vt:lpstr>
      <vt:lpstr>readme</vt:lpstr>
      <vt:lpstr>All_contrib_summary</vt:lpstr>
      <vt:lpstr>Top Sources Summary</vt:lpstr>
      <vt:lpstr>Mexico_Contribution</vt:lpstr>
      <vt:lpstr>MexicoImpactSummary</vt:lpstr>
      <vt:lpstr>SNMOS_woFires</vt:lpstr>
      <vt:lpstr>FireImpactsSummary</vt:lpstr>
      <vt:lpstr>Zac 4 km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2016-09-18T21:35:08Z</dcterms:modified>
</cp:coreProperties>
</file>